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895" windowHeight="9315" activeTab="0"/>
  </bookViews>
  <sheets>
    <sheet name="RETIREPX" sheetId="1" r:id="rId1"/>
    <sheet name="_SSC" sheetId="2" state="veryHidden" r:id="rId2"/>
    <sheet name="_Options" sheetId="3" state="veryHidden" r:id="rId3"/>
  </sheets>
  <definedNames>
    <definedName name="_inputcolorcell" hidden="1">'RETIREPX'!$F$7</definedName>
    <definedName name="_options1">'_Options'!$A$1:$A$21</definedName>
    <definedName name="_options2">'_Options'!$B$1:$B$21</definedName>
    <definedName name="_xlnm.Print_Area" localSheetId="0">'RETIREPX'!$A$5:$M$43</definedName>
  </definedNames>
  <calcPr fullCalcOnLoad="1"/>
</workbook>
</file>

<file path=xl/sharedStrings.xml><?xml version="1.0" encoding="utf-8"?>
<sst xmlns="http://schemas.openxmlformats.org/spreadsheetml/2006/main" count="128" uniqueCount="93">
  <si>
    <t>Return First 15 Years:</t>
  </si>
  <si>
    <t>Return Second 15 Years:</t>
  </si>
  <si>
    <t>Age to Start Social Security (62-70):</t>
  </si>
  <si>
    <t>Current Age:</t>
  </si>
  <si>
    <t>Total</t>
  </si>
  <si>
    <t>Mandatory</t>
  </si>
  <si>
    <t>Elective</t>
  </si>
  <si>
    <t>w/d Tax</t>
  </si>
  <si>
    <t xml:space="preserve"> w/d(d/p) </t>
  </si>
  <si>
    <t>Sheltered</t>
  </si>
  <si>
    <t xml:space="preserve"> Taxable</t>
  </si>
  <si>
    <t>Adj. for</t>
  </si>
  <si>
    <t xml:space="preserve">     Funds</t>
  </si>
  <si>
    <t>Year</t>
  </si>
  <si>
    <t>Funds P/T</t>
  </si>
  <si>
    <t xml:space="preserve"> Funds</t>
  </si>
  <si>
    <t>Inflation</t>
  </si>
  <si>
    <t>After Tax</t>
  </si>
  <si>
    <t xml:space="preserve">     Are Taxable</t>
  </si>
  <si>
    <t>SS &amp; Pension</t>
  </si>
  <si>
    <t xml:space="preserve">   Pre-Tax</t>
  </si>
  <si>
    <t xml:space="preserve">  After-Tax</t>
  </si>
  <si>
    <t>&amp; Mandatory</t>
  </si>
  <si>
    <t>Withdrawal</t>
  </si>
  <si>
    <t xml:space="preserve">   Return</t>
  </si>
  <si>
    <t xml:space="preserve">  return</t>
  </si>
  <si>
    <t xml:space="preserve">     Sufficient?</t>
  </si>
  <si>
    <t>IRA w/d</t>
  </si>
  <si>
    <t>fr Assets</t>
  </si>
  <si>
    <t>Social Security COLA (Inflation Rate):</t>
  </si>
  <si>
    <t>Other</t>
  </si>
  <si>
    <t>Income P/T</t>
  </si>
  <si>
    <t>Pension &amp;</t>
  </si>
  <si>
    <t>Buyout &amp;</t>
  </si>
  <si>
    <t>Inflation Rate - Percent:</t>
  </si>
  <si>
    <t>SOCIAL SECURITY</t>
  </si>
  <si>
    <t xml:space="preserve">        SPOUSE</t>
  </si>
  <si>
    <t xml:space="preserve">      PENSION</t>
  </si>
  <si>
    <t xml:space="preserve">       BUYOUT</t>
  </si>
  <si>
    <t>Social Security in Start Year (Current $'s Now):</t>
  </si>
  <si>
    <t>Mandatory Withdrawals from Tax-Sheltered Funds</t>
  </si>
  <si>
    <t>Social Security Withdrawals</t>
  </si>
  <si>
    <t>Pension</t>
  </si>
  <si>
    <t>Buyout</t>
  </si>
  <si>
    <t>Spouse</t>
  </si>
  <si>
    <t>You</t>
  </si>
  <si>
    <t>P/T Funds</t>
  </si>
  <si>
    <t>Needed +</t>
  </si>
  <si>
    <t>Tax</t>
  </si>
  <si>
    <t>Funds</t>
  </si>
  <si>
    <t>Taxable</t>
  </si>
  <si>
    <t>Need</t>
  </si>
  <si>
    <t>Social</t>
  </si>
  <si>
    <t>Security</t>
  </si>
  <si>
    <t>P/T</t>
  </si>
  <si>
    <t>Funds Needed in Year 1 After Income Taxes (Current $'s Now):</t>
  </si>
  <si>
    <t>Current Age for "YOU":</t>
  </si>
  <si>
    <t>OTHER INCOME</t>
  </si>
  <si>
    <t>COLA (%/year):</t>
  </si>
  <si>
    <t xml:space="preserve">       SPOUSE</t>
  </si>
  <si>
    <t xml:space="preserve">             MISC.</t>
  </si>
  <si>
    <t>Misc.</t>
  </si>
  <si>
    <t>Mandatory w/d</t>
  </si>
  <si>
    <t>YOU</t>
  </si>
  <si>
    <t>Tax-Sheltered</t>
  </si>
  <si>
    <t>SPOUSE</t>
  </si>
  <si>
    <t>Overall Income Tax Rate (Combined Federal &amp; State) - Percent:</t>
  </si>
  <si>
    <t xml:space="preserve">            "YOU"</t>
  </si>
  <si>
    <t xml:space="preserve">           "YOU"</t>
  </si>
  <si>
    <t>&amp; Buyout &amp; Misc.</t>
  </si>
  <si>
    <t>YOU+SPOUSE</t>
  </si>
  <si>
    <t>After Mandatory</t>
  </si>
  <si>
    <t>w/d</t>
  </si>
  <si>
    <t>w/d Taxable</t>
  </si>
  <si>
    <t>Latter of Start Age or Now:</t>
  </si>
  <si>
    <t>Annual Income at This Age:</t>
  </si>
  <si>
    <t># Yrs. to Run from This Age:</t>
  </si>
  <si>
    <t>Tax-Sheltered Funds When Model Begins (for Each):</t>
  </si>
  <si>
    <t>Joint Taxable Funds When Model Begins:</t>
  </si>
  <si>
    <t>Total Funds When Model Begins:</t>
  </si>
  <si>
    <t>{"ButtonStyle":0,"Name":"Eads &amp; Heald Investment Counsel Retirement Spending Model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InheritBackgroundColor":false,"CheckboxFlavor":1},"SmartphoneTheme":0,"InputDetection":1,"Toolbar":{"Position":3,"IsSubmit":false,"IsPrint":true,"IsPrintAll":false,"IsReset":true,"IsUpdate":true},"AspnetConfig":{"BrowseUrl":"http://localhost/ssc","FileExtension":0},"ConfigureSubmit":{"IsShowCaptcha":false,"IsUseSscWebServer":true,"ReceiverCode":"matt@eadsheald.com","IsFreeService":false,"IsAdvanceService":true,"IsDemonstrationService":false,"AfterSuccessfulSubmit":"","AfterFailSubmit":"","AfterCancelWizard":"","IsUseOwnWebServer":false,"OwnWebServerURL":"","OwnWebServerTarget":"","SubmitTarget":0},"Flavor":0,"Edition":2,"IgnoreBgInputCell":false}</t>
  </si>
  <si>
    <t>www.EadsHeald.com</t>
  </si>
  <si>
    <t xml:space="preserve">     "YOU"</t>
  </si>
  <si>
    <t>_Ctrl_1</t>
  </si>
  <si>
    <t>_Ctrl_2</t>
  </si>
  <si>
    <t>{"IsHide":false,"SheetId":0,"Name":"RETIREPX","HiddenRow":0,"VisibleRange":"","SheetTheme":{"TabColor":"","BodyColor":"","BodyImage":""}}</t>
  </si>
  <si>
    <t>_Ctrl_3</t>
  </si>
  <si>
    <t>_Ctrl_4</t>
  </si>
  <si>
    <r>
      <t xml:space="preserve">Latter of Retirement Age or Current Age </t>
    </r>
    <r>
      <rPr>
        <b/>
        <sz val="8"/>
        <rFont val="Arial"/>
        <family val="2"/>
      </rPr>
      <t>(MODEL BEGINS)</t>
    </r>
    <r>
      <rPr>
        <sz val="8"/>
        <rFont val="Arial"/>
        <family val="2"/>
      </rPr>
      <t>:</t>
    </r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</si>
  <si>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All","Reset":"Reset","Update":"Update","Back":"Back"},"BrowserAndLocation":{"Browsers":[{"Name":"firefox.exe"},{"Name":"chrome.exe"}],"ConversionPath":"C:\\Documents and Settings\\Matthew Eads\\My Documents\\SpreadsheetConverter"},"AdvancedSettingsModels":[],"Dropbox":{"AccessToken":"","AccessSecret":""},"SpreadsheetServer":{"Username":"","Password":"","ServerUrl":""},"ConfigureSubmitDefault":{"Email":"matt@eadsheald.com"}}</t>
  </si>
  <si>
    <t>The model is designed for modern browsers such as Firefox v21, Chrome v31, Internet Explorer v10, or newer browsers.</t>
  </si>
  <si>
    <t>Eads &amp; Heald Wealth Management - Retirement Spending Model</t>
  </si>
  <si>
    <t>Copyright 2017.  All content protected.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</si>
</sst>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"/>
    <numFmt numFmtId="167" formatCode="#,##0.0"/>
    <numFmt numFmtId="168" formatCode="&quot;$&quot;#,##0"/>
    <numFmt numFmtId="169" formatCode="\$#,##0"/>
  </numFmts>
  <fonts count="3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u val="single"/>
      <sz val="10.45"/>
      <color indexed="20"/>
      <name val="Arial"/>
      <family val="0"/>
    </font>
    <font>
      <sz val="10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4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57" applyAlignment="1">
      <alignment/>
      <protection/>
    </xf>
    <xf numFmtId="0" fontId="0" fillId="0" borderId="0" xfId="57" applyNumberFormat="1" applyFont="1" applyAlignment="1">
      <alignment horizontal="fill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57" applyNumberFormat="1" applyFont="1">
      <alignment/>
      <protection/>
    </xf>
    <xf numFmtId="0" fontId="5" fillId="0" borderId="0" xfId="57" applyFont="1" applyAlignment="1">
      <alignment/>
      <protection/>
    </xf>
    <xf numFmtId="0" fontId="5" fillId="0" borderId="0" xfId="0" applyNumberFormat="1" applyFont="1" applyAlignment="1">
      <alignment/>
    </xf>
    <xf numFmtId="0" fontId="5" fillId="0" borderId="0" xfId="57" applyNumberFormat="1" applyFont="1">
      <alignment/>
      <protection/>
    </xf>
    <xf numFmtId="3" fontId="5" fillId="0" borderId="0" xfId="57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5" fillId="0" borderId="0" xfId="57" applyNumberFormat="1" applyFont="1" applyAlignment="1">
      <alignment/>
      <protection/>
    </xf>
    <xf numFmtId="3" fontId="8" fillId="0" borderId="0" xfId="57" applyNumberFormat="1" applyFont="1" applyAlignment="1">
      <alignment/>
      <protection/>
    </xf>
    <xf numFmtId="0" fontId="8" fillId="0" borderId="0" xfId="57" applyNumberFormat="1" applyFont="1" applyAlignment="1">
      <alignment/>
      <protection/>
    </xf>
    <xf numFmtId="3" fontId="8" fillId="0" borderId="0" xfId="57" applyNumberFormat="1" applyFont="1">
      <alignment/>
      <protection/>
    </xf>
    <xf numFmtId="9" fontId="8" fillId="0" borderId="0" xfId="57" applyNumberFormat="1" applyFont="1" applyAlignment="1">
      <alignment/>
      <protection/>
    </xf>
    <xf numFmtId="164" fontId="5" fillId="0" borderId="0" xfId="0" applyNumberFormat="1" applyFont="1" applyAlignment="1" applyProtection="1">
      <alignment/>
      <protection/>
    </xf>
    <xf numFmtId="16" fontId="5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5" fillId="0" borderId="0" xfId="57" applyFont="1" applyAlignment="1">
      <alignment/>
      <protection/>
    </xf>
    <xf numFmtId="3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5" fillId="0" borderId="0" xfId="57" applyNumberFormat="1" applyFont="1" applyAlignment="1">
      <alignment vertical="top"/>
      <protection/>
    </xf>
    <xf numFmtId="3" fontId="5" fillId="18" borderId="0" xfId="0" applyNumberFormat="1" applyFont="1" applyFill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/>
      <protection hidden="1"/>
    </xf>
    <xf numFmtId="0" fontId="11" fillId="0" borderId="10" xfId="53" applyFont="1" applyBorder="1" applyAlignment="1" applyProtection="1">
      <alignment horizontal="right"/>
      <protection hidden="1"/>
    </xf>
    <xf numFmtId="0" fontId="11" fillId="0" borderId="10" xfId="53" applyNumberFormat="1" applyFont="1" applyBorder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/>
      <protection hidden="1"/>
    </xf>
    <xf numFmtId="0" fontId="11" fillId="0" borderId="0" xfId="53" applyNumberFormat="1" applyFont="1" applyAlignment="1" applyProtection="1">
      <alignment horizontal="right"/>
      <protection hidden="1"/>
    </xf>
    <xf numFmtId="0" fontId="11" fillId="0" borderId="0" xfId="53" applyFont="1" applyAlignment="1" applyProtection="1">
      <alignment horizontal="right"/>
      <protection hidden="1"/>
    </xf>
    <xf numFmtId="0" fontId="5" fillId="0" borderId="11" xfId="0" applyNumberFormat="1" applyFont="1" applyBorder="1" applyAlignment="1" applyProtection="1">
      <alignment/>
      <protection hidden="1"/>
    </xf>
    <xf numFmtId="0" fontId="11" fillId="0" borderId="11" xfId="53" applyNumberFormat="1" applyFont="1" applyBorder="1" applyAlignment="1" applyProtection="1">
      <alignment horizontal="right"/>
      <protection hidden="1"/>
    </xf>
    <xf numFmtId="0" fontId="7" fillId="0" borderId="0" xfId="0" applyNumberFormat="1" applyFont="1" applyAlignment="1" applyProtection="1">
      <alignment horizontal="fill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 quotePrefix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18" borderId="0" xfId="0" applyNumberFormat="1" applyFont="1" applyFill="1" applyAlignment="1">
      <alignment horizontal="right"/>
    </xf>
    <xf numFmtId="167" fontId="5" fillId="18" borderId="0" xfId="0" applyNumberFormat="1" applyFont="1" applyFill="1" applyAlignment="1" applyProtection="1">
      <alignment horizontal="right"/>
      <protection locked="0"/>
    </xf>
    <xf numFmtId="167" fontId="5" fillId="18" borderId="0" xfId="0" applyNumberFormat="1" applyFont="1" applyFill="1" applyAlignment="1" applyProtection="1">
      <alignment horizontal="right"/>
      <protection locked="0"/>
    </xf>
    <xf numFmtId="0" fontId="5" fillId="18" borderId="0" xfId="0" applyFont="1" applyFill="1" applyAlignment="1">
      <alignment horizontal="right"/>
    </xf>
    <xf numFmtId="1" fontId="5" fillId="18" borderId="0" xfId="0" applyNumberFormat="1" applyFont="1" applyFill="1" applyAlignment="1">
      <alignment horizontal="right"/>
    </xf>
    <xf numFmtId="0" fontId="5" fillId="18" borderId="0" xfId="0" applyFont="1" applyFill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4" fillId="0" borderId="0" xfId="53" applyAlignment="1" applyProtection="1">
      <alignment/>
      <protection/>
    </xf>
    <xf numFmtId="167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TIREPX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Funds Remaining (Adjusted for Inflation)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95"/>
          <c:w val="0.962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Funds Remaining (Adjusted for Inflation)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RETIREPX!$A$49:$A$79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RETIREPX!$M$49:$M$79</c:f>
              <c:numCache>
                <c:ptCount val="31"/>
                <c:pt idx="0">
                  <c:v>850000</c:v>
                </c:pt>
                <c:pt idx="1">
                  <c:v>825975.5320388349</c:v>
                </c:pt>
                <c:pt idx="2">
                  <c:v>801360.1956900745</c:v>
                </c:pt>
                <c:pt idx="3">
                  <c:v>776161.9019810722</c:v>
                </c:pt>
                <c:pt idx="4">
                  <c:v>756252.8743210722</c:v>
                </c:pt>
                <c:pt idx="5">
                  <c:v>735812.9239299352</c:v>
                </c:pt>
                <c:pt idx="6">
                  <c:v>716723.2290343622</c:v>
                </c:pt>
                <c:pt idx="7">
                  <c:v>696754.6276080238</c:v>
                </c:pt>
                <c:pt idx="8">
                  <c:v>674719.4247946683</c:v>
                </c:pt>
                <c:pt idx="9">
                  <c:v>651645.5777108773</c:v>
                </c:pt>
                <c:pt idx="10">
                  <c:v>627513.4360389132</c:v>
                </c:pt>
                <c:pt idx="11">
                  <c:v>598487.512028436</c:v>
                </c:pt>
                <c:pt idx="12">
                  <c:v>568410.6812035193</c:v>
                </c:pt>
                <c:pt idx="13">
                  <c:v>537271.8761974173</c:v>
                </c:pt>
                <c:pt idx="14">
                  <c:v>505029.2047120478</c:v>
                </c:pt>
                <c:pt idx="15">
                  <c:v>471678.24280481116</c:v>
                </c:pt>
                <c:pt idx="16">
                  <c:v>429147.0567594971</c:v>
                </c:pt>
                <c:pt idx="17">
                  <c:v>385903.1583000554</c:v>
                </c:pt>
                <c:pt idx="18">
                  <c:v>341946.9161646805</c:v>
                </c:pt>
                <c:pt idx="19">
                  <c:v>297278.78289001907</c:v>
                </c:pt>
                <c:pt idx="20">
                  <c:v>251899.345763111</c:v>
                </c:pt>
                <c:pt idx="21">
                  <c:v>188154.28116860444</c:v>
                </c:pt>
                <c:pt idx="22">
                  <c:v>122333.85820144095</c:v>
                </c:pt>
                <c:pt idx="23">
                  <c:v>54724.01740267366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4994553"/>
        <c:axId val="23624386"/>
      </c:bar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 After Retirement Begins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85725</xdr:rowOff>
    </xdr:from>
    <xdr:to>
      <xdr:col>12</xdr:col>
      <xdr:colOff>542925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42875" y="2752725"/>
        <a:ext cx="8267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dsheald.com/retirementmodel/retirementmodeldefinitions.htm" TargetMode="External" /><Relationship Id="rId2" Type="http://schemas.openxmlformats.org/officeDocument/2006/relationships/hyperlink" Target="http://www.eadsheald.com/retirementmodel/retirementmodeldefinitions.htm" TargetMode="External" /><Relationship Id="rId3" Type="http://schemas.openxmlformats.org/officeDocument/2006/relationships/hyperlink" Target="http://www.eadsheald.com/retirementmodel/retirementmodeldefinitions.htm" TargetMode="External" /><Relationship Id="rId4" Type="http://schemas.openxmlformats.org/officeDocument/2006/relationships/hyperlink" Target="http://www.eadsheald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2"/>
  <sheetViews>
    <sheetView tabSelected="1" showOutlineSymbols="0" zoomScalePageLayoutView="0" workbookViewId="0" topLeftCell="A1">
      <selection activeCell="A82" sqref="A82"/>
    </sheetView>
  </sheetViews>
  <sheetFormatPr defaultColWidth="9.6640625" defaultRowHeight="15"/>
  <cols>
    <col min="1" max="1" width="6.77734375" style="0" customWidth="1"/>
    <col min="2" max="6" width="7.77734375" style="0" customWidth="1"/>
    <col min="7" max="7" width="7.21484375" style="0" customWidth="1"/>
    <col min="8" max="13" width="7.77734375" style="0" customWidth="1"/>
    <col min="14" max="16" width="13.6640625" style="0" hidden="1" customWidth="1"/>
    <col min="17" max="19" width="9.6640625" style="0" hidden="1" customWidth="1"/>
    <col min="20" max="20" width="13.6640625" style="0" hidden="1" customWidth="1"/>
    <col min="21" max="31" width="9.6640625" style="0" hidden="1" customWidth="1"/>
    <col min="32" max="32" width="11.4453125" style="0" hidden="1" customWidth="1"/>
    <col min="33" max="50" width="9.6640625" style="0" hidden="1" customWidth="1"/>
  </cols>
  <sheetData>
    <row r="1" ht="20.25">
      <c r="A1" s="56" t="s">
        <v>91</v>
      </c>
    </row>
    <row r="2" ht="15">
      <c r="A2" s="57" t="s">
        <v>81</v>
      </c>
    </row>
    <row r="3" ht="15">
      <c r="A3" s="57"/>
    </row>
    <row r="4" ht="15.75">
      <c r="A4" s="62" t="s">
        <v>90</v>
      </c>
    </row>
    <row r="5" ht="12" customHeight="1"/>
    <row r="6" spans="1:13" s="5" customFormat="1" ht="12" customHeight="1">
      <c r="A6" s="21"/>
      <c r="B6"/>
      <c r="C6"/>
      <c r="D6"/>
      <c r="E6" s="59" t="s">
        <v>36</v>
      </c>
      <c r="F6" s="59" t="s">
        <v>68</v>
      </c>
      <c r="H6" s="60" t="s">
        <v>35</v>
      </c>
      <c r="I6" s="23"/>
      <c r="J6" s="23"/>
      <c r="K6" s="23"/>
      <c r="L6" s="61" t="s">
        <v>36</v>
      </c>
      <c r="M6" s="60" t="s">
        <v>67</v>
      </c>
    </row>
    <row r="7" spans="1:41" s="5" customFormat="1" ht="12" customHeight="1">
      <c r="A7" s="11" t="s">
        <v>77</v>
      </c>
      <c r="B7" s="8"/>
      <c r="C7" s="8"/>
      <c r="D7" s="8"/>
      <c r="E7" s="50">
        <v>75000</v>
      </c>
      <c r="F7" s="33">
        <v>175000</v>
      </c>
      <c r="H7" s="11" t="s">
        <v>3</v>
      </c>
      <c r="L7" s="53">
        <v>61</v>
      </c>
      <c r="M7" s="25">
        <f>($F$16)</f>
        <v>63</v>
      </c>
      <c r="AL7" s="5">
        <f>IF(L7="",0,0)</f>
        <v>0</v>
      </c>
      <c r="AM7" s="5">
        <f>IF(M7="",0,0)</f>
        <v>0</v>
      </c>
      <c r="AO7" s="5">
        <f>IF(J13="",0,0)</f>
        <v>0</v>
      </c>
    </row>
    <row r="8" spans="1:41" s="5" customFormat="1" ht="12" customHeight="1">
      <c r="A8" s="11" t="s">
        <v>78</v>
      </c>
      <c r="F8" s="33">
        <v>600000</v>
      </c>
      <c r="H8" s="11" t="s">
        <v>2</v>
      </c>
      <c r="L8" s="54">
        <v>62</v>
      </c>
      <c r="M8" s="55">
        <v>65</v>
      </c>
      <c r="AL8" s="5">
        <f>IF(L8="",0,0)</f>
        <v>0</v>
      </c>
      <c r="AM8" s="5">
        <f>IF(M8="",0,0)</f>
        <v>0</v>
      </c>
      <c r="AO8" s="5">
        <f>IF(J14="",0,0)</f>
        <v>0</v>
      </c>
    </row>
    <row r="9" spans="1:13" s="5" customFormat="1" ht="12" customHeight="1">
      <c r="A9" s="11" t="s">
        <v>79</v>
      </c>
      <c r="F9" s="28">
        <f>(E7+F7+F8)</f>
        <v>850000</v>
      </c>
      <c r="H9" s="11" t="s">
        <v>39</v>
      </c>
      <c r="L9" s="50">
        <v>7000</v>
      </c>
      <c r="M9" s="33">
        <v>10000</v>
      </c>
    </row>
    <row r="10" spans="1:19" s="5" customFormat="1" ht="12" customHeight="1">
      <c r="A10" s="11" t="s">
        <v>55</v>
      </c>
      <c r="F10" s="33">
        <v>75000</v>
      </c>
      <c r="N10" s="11" t="s">
        <v>29</v>
      </c>
      <c r="R10" s="20"/>
      <c r="S10" s="17">
        <f>(F11)</f>
        <v>3</v>
      </c>
    </row>
    <row r="11" spans="1:13" s="5" customFormat="1" ht="12" customHeight="1">
      <c r="A11" s="5" t="s">
        <v>34</v>
      </c>
      <c r="F11" s="51">
        <v>3</v>
      </c>
      <c r="J11" s="59" t="s">
        <v>37</v>
      </c>
      <c r="K11" s="59" t="s">
        <v>37</v>
      </c>
      <c r="L11" s="59" t="s">
        <v>38</v>
      </c>
      <c r="M11" s="21" t="s">
        <v>60</v>
      </c>
    </row>
    <row r="12" spans="1:40" s="5" customFormat="1" ht="12" customHeight="1">
      <c r="A12" s="5" t="s">
        <v>0</v>
      </c>
      <c r="F12" s="52">
        <v>7</v>
      </c>
      <c r="H12" s="60" t="s">
        <v>57</v>
      </c>
      <c r="I12" s="23"/>
      <c r="J12" s="61" t="s">
        <v>59</v>
      </c>
      <c r="K12" s="61" t="s">
        <v>68</v>
      </c>
      <c r="L12" s="61" t="s">
        <v>82</v>
      </c>
      <c r="M12" s="61" t="s">
        <v>82</v>
      </c>
      <c r="AL12" s="5">
        <f aca="true" t="shared" si="0" ref="AL12:AN13">IF(K13="",0,0)</f>
        <v>0</v>
      </c>
      <c r="AM12" s="5">
        <f t="shared" si="0"/>
        <v>0</v>
      </c>
      <c r="AN12" s="5">
        <f t="shared" si="0"/>
        <v>0</v>
      </c>
    </row>
    <row r="13" spans="1:40" s="5" customFormat="1" ht="12" customHeight="1">
      <c r="A13" s="5" t="s">
        <v>1</v>
      </c>
      <c r="F13" s="52">
        <v>5</v>
      </c>
      <c r="H13" s="5" t="s">
        <v>74</v>
      </c>
      <c r="J13" s="53">
        <v>62</v>
      </c>
      <c r="K13" s="53">
        <v>65</v>
      </c>
      <c r="L13" s="53">
        <v>70</v>
      </c>
      <c r="M13" s="53">
        <v>68</v>
      </c>
      <c r="AL13" s="5">
        <f t="shared" si="0"/>
        <v>0</v>
      </c>
      <c r="AM13" s="5">
        <f t="shared" si="0"/>
        <v>0</v>
      </c>
      <c r="AN13" s="5">
        <f t="shared" si="0"/>
        <v>0</v>
      </c>
    </row>
    <row r="14" spans="1:37" s="5" customFormat="1" ht="12" customHeight="1">
      <c r="A14" s="11" t="s">
        <v>66</v>
      </c>
      <c r="F14" s="52">
        <v>34</v>
      </c>
      <c r="H14" s="5" t="s">
        <v>76</v>
      </c>
      <c r="J14" s="53">
        <v>35</v>
      </c>
      <c r="K14" s="53">
        <v>35</v>
      </c>
      <c r="L14" s="53">
        <v>5</v>
      </c>
      <c r="M14" s="53">
        <v>20</v>
      </c>
      <c r="V14" s="18"/>
      <c r="AK14" s="5">
        <f>IF(F15="",0,0)</f>
        <v>0</v>
      </c>
    </row>
    <row r="15" spans="1:40" ht="12" customHeight="1">
      <c r="A15" s="11" t="s">
        <v>88</v>
      </c>
      <c r="B15" s="5"/>
      <c r="C15" s="5"/>
      <c r="D15" s="5"/>
      <c r="E15" s="5"/>
      <c r="F15" s="33">
        <v>65</v>
      </c>
      <c r="G15" s="22"/>
      <c r="H15" s="5" t="s">
        <v>75</v>
      </c>
      <c r="I15" s="5"/>
      <c r="J15" s="50">
        <v>15000</v>
      </c>
      <c r="K15" s="50">
        <v>20000</v>
      </c>
      <c r="L15" s="50">
        <v>8000</v>
      </c>
      <c r="M15" s="50">
        <v>10000</v>
      </c>
      <c r="R15" s="5" t="s">
        <v>17</v>
      </c>
      <c r="V15" s="1"/>
      <c r="AK15" s="5">
        <f>IF(F16="",0,0)</f>
        <v>0</v>
      </c>
      <c r="AL15" s="5"/>
      <c r="AM15" s="5"/>
      <c r="AN15" s="5"/>
    </row>
    <row r="16" spans="1:28" s="5" customFormat="1" ht="12" customHeight="1">
      <c r="A16" s="22" t="s">
        <v>56</v>
      </c>
      <c r="B16"/>
      <c r="C16"/>
      <c r="D16"/>
      <c r="E16"/>
      <c r="F16" s="33">
        <v>63</v>
      </c>
      <c r="G16" s="26"/>
      <c r="H16" s="5" t="s">
        <v>58</v>
      </c>
      <c r="J16" s="53">
        <v>1</v>
      </c>
      <c r="K16" s="53">
        <v>1</v>
      </c>
      <c r="L16" s="53">
        <v>0</v>
      </c>
      <c r="M16" s="53">
        <v>2</v>
      </c>
      <c r="N16" s="9"/>
      <c r="O16" s="7"/>
      <c r="P16" s="7"/>
      <c r="Q16" s="6"/>
      <c r="R16" s="22" t="s">
        <v>19</v>
      </c>
      <c r="S16" s="6"/>
      <c r="T16" s="10" t="s">
        <v>17</v>
      </c>
      <c r="U16" s="6"/>
      <c r="V16" s="6"/>
      <c r="W16" s="7"/>
      <c r="X16" s="7"/>
      <c r="Y16" s="7"/>
      <c r="Z16" s="7"/>
      <c r="AA16" s="7"/>
      <c r="AB16" s="7"/>
    </row>
    <row r="17" spans="14:48" s="5" customFormat="1" ht="12" customHeight="1">
      <c r="N17" s="9"/>
      <c r="O17" s="7"/>
      <c r="P17" s="12" t="s">
        <v>18</v>
      </c>
      <c r="Q17" s="6"/>
      <c r="R17" s="10" t="s">
        <v>69</v>
      </c>
      <c r="S17" s="6"/>
      <c r="T17" s="10" t="s">
        <v>6</v>
      </c>
      <c r="U17" s="6"/>
      <c r="V17" s="6"/>
      <c r="W17" s="7"/>
      <c r="X17" s="7"/>
      <c r="Y17" s="7"/>
      <c r="Z17" s="7"/>
      <c r="AA17" s="7"/>
      <c r="AB17" s="7"/>
      <c r="AV17" s="5" t="s">
        <v>70</v>
      </c>
    </row>
    <row r="18" spans="14:48" s="5" customFormat="1" ht="12" customHeight="1">
      <c r="N18" s="12" t="s">
        <v>20</v>
      </c>
      <c r="O18" s="12" t="s">
        <v>21</v>
      </c>
      <c r="P18" s="12" t="s">
        <v>12</v>
      </c>
      <c r="Q18" s="6"/>
      <c r="R18" s="12" t="s">
        <v>22</v>
      </c>
      <c r="S18" s="6"/>
      <c r="T18" s="10" t="s">
        <v>23</v>
      </c>
      <c r="U18" s="6"/>
      <c r="V18" s="6"/>
      <c r="W18" s="7"/>
      <c r="X18" s="7"/>
      <c r="Y18" s="7"/>
      <c r="Z18" s="7"/>
      <c r="AA18" s="7"/>
      <c r="AB18" s="7"/>
      <c r="AH18" s="5" t="s">
        <v>63</v>
      </c>
      <c r="AT18" s="5" t="s">
        <v>65</v>
      </c>
      <c r="AV18" s="5" t="s">
        <v>64</v>
      </c>
    </row>
    <row r="19" spans="14:48" s="5" customFormat="1" ht="12" customHeight="1">
      <c r="N19" s="13" t="s">
        <v>24</v>
      </c>
      <c r="O19" s="14" t="s">
        <v>25</v>
      </c>
      <c r="P19" s="13" t="s">
        <v>26</v>
      </c>
      <c r="Q19" s="15"/>
      <c r="R19" s="16" t="s">
        <v>27</v>
      </c>
      <c r="S19" s="15"/>
      <c r="T19" s="13" t="s">
        <v>28</v>
      </c>
      <c r="U19" s="6"/>
      <c r="V19" s="6"/>
      <c r="W19" s="6"/>
      <c r="X19" s="7"/>
      <c r="Y19" s="7"/>
      <c r="Z19" s="7"/>
      <c r="AA19" s="7"/>
      <c r="AB19" s="7"/>
      <c r="AH19" s="5" t="s">
        <v>64</v>
      </c>
      <c r="AL19" s="7"/>
      <c r="AM19" s="7"/>
      <c r="AN19" s="7"/>
      <c r="AT19" s="5" t="s">
        <v>64</v>
      </c>
      <c r="AU19" s="5" t="s">
        <v>70</v>
      </c>
      <c r="AV19" s="5" t="s">
        <v>71</v>
      </c>
    </row>
    <row r="20" spans="14:48" ht="12" customHeight="1">
      <c r="N20" s="3"/>
      <c r="O20" s="3"/>
      <c r="P20" s="3"/>
      <c r="Q20" s="3"/>
      <c r="R20" s="3"/>
      <c r="S20" s="3"/>
      <c r="T20" s="3"/>
      <c r="U20" s="12" t="s">
        <v>42</v>
      </c>
      <c r="V20" s="7" t="s">
        <v>42</v>
      </c>
      <c r="W20" s="2"/>
      <c r="X20" s="2"/>
      <c r="Y20" s="2"/>
      <c r="Z20" s="29" t="s">
        <v>63</v>
      </c>
      <c r="AA20" s="29" t="s">
        <v>63</v>
      </c>
      <c r="AB20" s="2"/>
      <c r="AH20" s="5" t="s">
        <v>49</v>
      </c>
      <c r="AJ20" s="22" t="s">
        <v>41</v>
      </c>
      <c r="AL20" s="29" t="s">
        <v>65</v>
      </c>
      <c r="AM20" s="29" t="s">
        <v>65</v>
      </c>
      <c r="AN20" s="2"/>
      <c r="AT20" s="5" t="s">
        <v>49</v>
      </c>
      <c r="AU20" s="5" t="s">
        <v>62</v>
      </c>
      <c r="AV20" s="5" t="s">
        <v>72</v>
      </c>
    </row>
    <row r="21" spans="14:48" s="5" customFormat="1" ht="9.75" customHeight="1">
      <c r="N21" s="6"/>
      <c r="O21" s="6"/>
      <c r="P21" s="6"/>
      <c r="Q21" s="6"/>
      <c r="R21" s="6"/>
      <c r="S21" s="6"/>
      <c r="T21" s="6"/>
      <c r="U21" s="6" t="s">
        <v>44</v>
      </c>
      <c r="V21" s="6" t="s">
        <v>45</v>
      </c>
      <c r="W21" s="22" t="s">
        <v>43</v>
      </c>
      <c r="X21" s="19" t="s">
        <v>30</v>
      </c>
      <c r="Y21" s="19"/>
      <c r="Z21" s="19" t="s">
        <v>62</v>
      </c>
      <c r="AA21" s="19" t="s">
        <v>40</v>
      </c>
      <c r="AB21" s="19"/>
      <c r="AH21" s="24">
        <f>($F$7)</f>
        <v>175000</v>
      </c>
      <c r="AJ21" s="5" t="s">
        <v>44</v>
      </c>
      <c r="AK21" s="5" t="s">
        <v>45</v>
      </c>
      <c r="AL21" s="19" t="s">
        <v>62</v>
      </c>
      <c r="AM21" s="19" t="s">
        <v>40</v>
      </c>
      <c r="AN21" s="19"/>
      <c r="AT21" s="24">
        <f>($E$7)</f>
        <v>75000</v>
      </c>
      <c r="AV21" s="27">
        <f>(AH21+AT21)</f>
        <v>250000</v>
      </c>
    </row>
    <row r="22" spans="14:51" s="5" customFormat="1" ht="9.75" customHeight="1">
      <c r="N22" s="6">
        <f aca="true" t="shared" si="1" ref="N22:N36">($F$12)</f>
        <v>7</v>
      </c>
      <c r="O22" s="6">
        <f aca="true" t="shared" si="2" ref="O22:O36">($F$12)*(1-$F$14/100)</f>
        <v>4.619999999999999</v>
      </c>
      <c r="P22" s="6">
        <f aca="true" t="shared" si="3" ref="P22:P51">IF((C49*(1+O22/100)-(E50-R22))&gt;0,1,0)</f>
        <v>1</v>
      </c>
      <c r="Q22" s="6"/>
      <c r="R22" s="6">
        <f aca="true" t="shared" si="4" ref="R22:R51">((G50+H50+I50)*(1-($F$14/100)))</f>
        <v>35102.297999999995</v>
      </c>
      <c r="S22" s="6"/>
      <c r="T22" s="6">
        <f aca="true" t="shared" si="5" ref="T22:T51">(E50-R22)</f>
        <v>44465.202000000005</v>
      </c>
      <c r="U22" s="6">
        <f aca="true" t="shared" si="6" ref="U22:U51">IF((A49-(($J$13-($L$7+($F$15-$M$7)))+$J$14))&gt;=0,0,IF(($J$13-($L$7+($F$15-$M$7)))&lt;=A49,$J$15*(1+$J$16/100)^(A49-($J$13-($L$7+($F$15-$M$7)))),0))</f>
        <v>15150</v>
      </c>
      <c r="V22" s="6">
        <f aca="true" t="shared" si="7" ref="V22:V51">IF((A49-(($K$13-$F$15)+$K$14))&gt;=0,0,IF(($K$13-$F$15)&lt;=A49,$K$15*(1+$K$16/100)^(A49-($K$13-$F$15)),0))</f>
        <v>20000</v>
      </c>
      <c r="W22" s="6">
        <f aca="true" t="shared" si="8" ref="W22:W51">IF((A49-(($L$13-$F$15)+$L$14))&gt;=0,0,IF(($L$13-$F$15)&lt;=A49,$L$15*(1+$L$16/100)^(A49-($L$13-$F$15)),0))</f>
        <v>0</v>
      </c>
      <c r="X22" s="6">
        <f aca="true" t="shared" si="9" ref="X22:X51">IF((A49-(($M$13-$F$15)+$M$14))&gt;=0,0,IF(($M$13-$F$15)&lt;=A49,$M$15*(1+$M$16/100)^(A49-($M$13-$F$15)),0))</f>
        <v>0</v>
      </c>
      <c r="Y22" s="19"/>
      <c r="Z22" s="4">
        <f aca="true" t="shared" si="10" ref="Z22:Z51">IF(A49&lt;(70-$F$15),0,AH21/IF(A49=(70-$F$15),27.4,IF(A49=(70-$F$15)+1,26.5,IF(A49=(70-$F$15)+2,25.6,IF(A49=(70-$F$15)+3,24.7,IF(A49=(70-$F$15)+4,23.8,IF(A49=(70-$F$15)+5,22.9,AA22)))))))</f>
        <v>0</v>
      </c>
      <c r="AA22" s="19">
        <f aca="true" t="shared" si="11" ref="AA22:AA51">IF(A49=(70-$F$15)+6,22,IF(A49=(70-$F$15)+7,21.2,IF(A49=(70-$F$15)+8,20.3,IF(A49=(70-$F$15)+9,19.5,IF(A49=(70-$F$15)+10,18.7,IF(A49=(70-$F$15)+11,17.9,AB22))))))</f>
        <v>1.9</v>
      </c>
      <c r="AB22" s="19">
        <f aca="true" t="shared" si="12" ref="AB22:AB51">IF(A49=(70-$F$15)+12,17.1,IF(A49=(70-$F$15)+13,16.3,IF(A49=(70-$F$15)+14,15.5,IF(A49=(70-$F$15)+15,14.8,IF(A49=(70-$F$15)+16,14.1,IF(A49=(70-$F$15)+17,13.4,AC22))))))</f>
        <v>1.9</v>
      </c>
      <c r="AC22" s="5">
        <f aca="true" t="shared" si="13" ref="AC22:AC51">IF(A49=(70-$F$15)+18,12.7,IF(A49=(70-$F$15)+19,12,IF(A49=(70-$F$15)+20,11.4,IF(A49=(70-$F$15)+21,10.8,IF(A49=(70-$F$15)+22,10.2,IF(A49=(70-$F$15)+23,9.6,AD22))))))</f>
        <v>1.9</v>
      </c>
      <c r="AD22" s="5">
        <f aca="true" t="shared" si="14" ref="AD22:AD51">IF(A49=(70-$F$15)+24,9.1,IF(A49=(70-$F$15)+25,8.6,IF(A49=(70-$F$15)+26,8.1,IF(A49=(70-$F$15)+27,7.6,IF(A49=(70-$F$15)+28,7.1,IF(A49=(70-$F$15)+29,6.7,AE22))))))</f>
        <v>1.9</v>
      </c>
      <c r="AE22" s="5">
        <f aca="true" t="shared" si="15" ref="AE22:AE51">IF(A49=(70-$F$15)+30,6.3,IF(A49=(70-$F$15)+31,5.9,IF(A49=(70-$F$15)+32,5.5,IF(A49=(70-$F$15)+33,5.2,IF(A49=(70-$F$15)+34,4.9,IF(A49=(70-$F$15)+35,4.5,AF22))))))</f>
        <v>1.9</v>
      </c>
      <c r="AF22" s="5">
        <f aca="true" t="shared" si="16" ref="AF22:AF51">IF(A49=(70-$F$15)+36,4.2,IF(A49=(70-$F$15)+37,3.9,IF(A49=(70-$F$15)+38,3.7,IF(A49=(70-$F$15)+39,3.4,IF(A49=(70-$F$15)+40,3.1,IF(A49=(70-$F$15)+41,2.9,AG22))))))</f>
        <v>1.9</v>
      </c>
      <c r="AG22" s="5">
        <f aca="true" t="shared" si="17" ref="AG22:AG51">IF(A49=(70-$F$15)+42,2.6,IF(A49=(70-$F$15)+43,2.4,IF(A49=(70-$F$15)+44,2.1,IF(A49=(70-$F$15)+45,1.9,1.9))))</f>
        <v>1.9</v>
      </c>
      <c r="AH22" s="4">
        <f aca="true" t="shared" si="18" ref="AH22:AH51">IF((AH21*(1+N22/100)-Z22-J50)&gt;0,(AH21*(1+N22/100)-Z22-J50),0)</f>
        <v>187250</v>
      </c>
      <c r="AI22" s="27"/>
      <c r="AJ22" s="4">
        <f aca="true" t="shared" si="19" ref="AJ22:AJ51">IF(A49&gt;=$L$8-($L$7+($F$15-$M$7)),($L$9*(1+$S$10/100)^(($M$8-$M$7)-($M$8-$F$15)+A49)),0)</f>
        <v>7426.299999999999</v>
      </c>
      <c r="AK22" s="4">
        <f aca="true" t="shared" si="20" ref="AK22:AK51">IF(A49&gt;=$M$8-$F$15,($M$9*(1+$S$10/100)^(($M$8-$M$7)-($M$8-$F$15)+A49)),0)</f>
        <v>10609</v>
      </c>
      <c r="AL22" s="4">
        <f aca="true" t="shared" si="21" ref="AL22:AL51">IF(A49&lt;(70-$F$15+$M$7-$L$7),0,AT21/IF(A49=(70-$F$15+$M$7-$L$7),27.4,IF(A49=(70-$F$15+$M$7-$L$7)+1,26.5,IF(A49=(70-$F$15+$M$7-$L$7)+2,25.6,IF(A49=(70-$F$15+$M$7-$L$7)+3,24.7,IF(A49=(70-$F$15+$M$7-$L$7)+4,23.8,IF(A49=(70-$F$15+$M$7-$L$7)+5,22.9,AM22)))))))</f>
        <v>0</v>
      </c>
      <c r="AM22" s="19">
        <f aca="true" t="shared" si="22" ref="AM22:AM51">IF(A49=(70-$F$15+$M$7-$L$7)+6,22,IF(A49=(70-$F$15+$M$7-$L$7)+7,21.2,IF(A49=(70-$F$15+$M$7-$L$7)+8,20.3,IF(A49=(70-$F$15+$M$7-$L$7)+9,19.5,IF(A49=(70-$F$15+$M$7-$L$7)+10,18.7,IF(A49=(70-$F$15+$M$7-$L$7)+11,17.9,AN22))))))</f>
        <v>1.9</v>
      </c>
      <c r="AN22" s="19">
        <f aca="true" t="shared" si="23" ref="AN22:AN51">IF(A49=(70-$F$15+$M$7-$L$7)+12,17.1,IF(A49=(70-$F$15+$M$7-$L$7)+13,16.3,IF(A49=(70-$F$15+$M$7-$L$7)+14,15.5,IF(A49=(70-$F$15+$M$7-$L$7)+15,14.8,IF(A49=(70-$F$15+$M$7-$L$7)+16,14.1,IF(A49=(70-$F$15+$M$7-$L$7)+17,13.4,AO22))))))</f>
        <v>1.9</v>
      </c>
      <c r="AO22" s="5">
        <f aca="true" t="shared" si="24" ref="AO22:AO51">IF(A49=(70-$F$15+$M$7-$L$7)+18,12.7,IF(A49=(70-$F$15+$M$7-$L$7)+19,12,IF(A49=(70-$F$15+$M$7-$L$7)+20,11.4,IF(A49=(70-$F$15+$M$7-$L$7)+21,10.8,IF(A49=(70-$F$15+$M$7-$L$7)+22,10.2,IF(A49=(70-$F$15+$M$7-$L$7)+23,9.6,AP22))))))</f>
        <v>1.9</v>
      </c>
      <c r="AP22" s="5">
        <f aca="true" t="shared" si="25" ref="AP22:AP51">IF(A49=(70-$F$15+$M$7-$L$7)+24,9.1,IF(A49=(70-$F$15+$M$7-$L$7)+25,8.6,IF(A49=(70-$F$15+$M$7-$L$7)+26,8.1,IF(A49=(70-$F$15+$M$7-$L$7)+27,7.6,IF(A49=(70-$F$15+$M$7-$L$7)+28,7.1,IF(A49=(70-$F$15+$M$7-$L$7)+29,6.7,AQ22))))))</f>
        <v>1.9</v>
      </c>
      <c r="AQ22" s="5">
        <f aca="true" t="shared" si="26" ref="AQ22:AQ51">IF(A49=(70-$F$15+$M$7-$L$7)+30,6.3,IF(A49=(70-$F$15+$M$7-$L$7)+31,5.9,IF(A49=(70-$F$15+$M$7-$L$7)+32,5.5,IF(A49=(70-$F$15+$M$7-$L$7)+33,5.2,IF(A49=(70-$F$15+$M$7-$L$7)+34,4.9,IF(A49=(70-$F$15+$M$7-$L$7)+35,4.5,AR22))))))</f>
        <v>1.9</v>
      </c>
      <c r="AR22" s="5">
        <f aca="true" t="shared" si="27" ref="AR22:AR51">IF(A49=(70-$F$15+$M$7-$L$7)+36,4.2,IF(A49=(70-$F$15+$M$7-$L$7)+37,3.9,IF(A49=(70-$F$15+$M$7-$L$7)+38,3.7,IF(A49=(70-$F$15+$M$7-$L$7)+39,3.4,IF(A49=(70-$F$15+$M$7-$L$7)+40,3.1,IF(A49=(70-$F$15+$M$7-$L$7)+41,2.9,AS22))))))</f>
        <v>1.9</v>
      </c>
      <c r="AS22" s="5">
        <f aca="true" t="shared" si="28" ref="AS22:AS51">IF(A49=(70-$F$15+$M$7-$L$7)+42,2.6,IF(A49=(70-$F$15+$M$7-$L$7)+43,2.4,IF(A49=(70-$F$15+$M$7-$L$7)+44,2.1,IF(A49=(70-$F$15+$M$7-$L$7)+45,1.9,1.9))))</f>
        <v>1.9</v>
      </c>
      <c r="AT22" s="4">
        <f>IF((AT21*(1+N22/100)-AL22)&gt;0,(AT21*(1+N22/100)-AL22),0)</f>
        <v>80250</v>
      </c>
      <c r="AU22" s="27">
        <f>(Z22+AL22)</f>
        <v>0</v>
      </c>
      <c r="AV22" s="27">
        <f>(AH22+AT22)</f>
        <v>267500</v>
      </c>
      <c r="AW22" s="27">
        <f aca="true" t="shared" si="29" ref="AW22:AW51">(AV22-J50)</f>
        <v>267500</v>
      </c>
      <c r="AX22" s="5" t="e">
        <f>(AV21/AU22)</f>
        <v>#DIV/0!</v>
      </c>
      <c r="AY22" s="27"/>
    </row>
    <row r="23" spans="14:51" s="5" customFormat="1" ht="9.75" customHeight="1">
      <c r="N23" s="6">
        <f t="shared" si="1"/>
        <v>7</v>
      </c>
      <c r="O23" s="6">
        <f t="shared" si="2"/>
        <v>4.619999999999999</v>
      </c>
      <c r="P23" s="6">
        <f t="shared" si="3"/>
        <v>1</v>
      </c>
      <c r="Q23" s="6"/>
      <c r="R23" s="6">
        <f t="shared" si="4"/>
        <v>35691.38694</v>
      </c>
      <c r="S23" s="6"/>
      <c r="T23" s="6">
        <f t="shared" si="5"/>
        <v>46263.13806000001</v>
      </c>
      <c r="U23" s="6">
        <f t="shared" si="6"/>
        <v>15301.5</v>
      </c>
      <c r="V23" s="6">
        <f t="shared" si="7"/>
        <v>20200</v>
      </c>
      <c r="W23" s="6">
        <f t="shared" si="8"/>
        <v>0</v>
      </c>
      <c r="X23" s="6">
        <f t="shared" si="9"/>
        <v>0</v>
      </c>
      <c r="Y23" s="19"/>
      <c r="Z23" s="4">
        <f t="shared" si="10"/>
        <v>0</v>
      </c>
      <c r="AA23" s="19">
        <f t="shared" si="11"/>
        <v>1.9</v>
      </c>
      <c r="AB23" s="19">
        <f t="shared" si="12"/>
        <v>1.9</v>
      </c>
      <c r="AC23" s="5">
        <f t="shared" si="13"/>
        <v>1.9</v>
      </c>
      <c r="AD23" s="5">
        <f t="shared" si="14"/>
        <v>1.9</v>
      </c>
      <c r="AE23" s="5">
        <f t="shared" si="15"/>
        <v>1.9</v>
      </c>
      <c r="AF23" s="5">
        <f t="shared" si="16"/>
        <v>1.9</v>
      </c>
      <c r="AG23" s="5">
        <f t="shared" si="17"/>
        <v>1.9</v>
      </c>
      <c r="AH23" s="4">
        <f t="shared" si="18"/>
        <v>200357.5</v>
      </c>
      <c r="AI23" s="27"/>
      <c r="AJ23" s="4">
        <f t="shared" si="19"/>
        <v>7649.089</v>
      </c>
      <c r="AK23" s="4">
        <f t="shared" si="20"/>
        <v>10927.27</v>
      </c>
      <c r="AL23" s="4">
        <f t="shared" si="21"/>
        <v>0</v>
      </c>
      <c r="AM23" s="19">
        <f t="shared" si="22"/>
        <v>1.9</v>
      </c>
      <c r="AN23" s="19">
        <f t="shared" si="23"/>
        <v>1.9</v>
      </c>
      <c r="AO23" s="5">
        <f t="shared" si="24"/>
        <v>1.9</v>
      </c>
      <c r="AP23" s="5">
        <f t="shared" si="25"/>
        <v>1.9</v>
      </c>
      <c r="AQ23" s="5">
        <f t="shared" si="26"/>
        <v>1.9</v>
      </c>
      <c r="AR23" s="5">
        <f t="shared" si="27"/>
        <v>1.9</v>
      </c>
      <c r="AS23" s="5">
        <f t="shared" si="28"/>
        <v>1.9</v>
      </c>
      <c r="AT23" s="4">
        <f aca="true" t="shared" si="30" ref="AT23:AT51">IF((AT22*(1+N23/100)-AL23)&gt;0,(AT22*(1+N23/100)-AL23),0)</f>
        <v>85867.5</v>
      </c>
      <c r="AU23" s="27">
        <f aca="true" t="shared" si="31" ref="AU23:AU51">(Z23+AL23)</f>
        <v>0</v>
      </c>
      <c r="AV23" s="27">
        <f aca="true" t="shared" si="32" ref="AV23:AV51">(AH23+AT23)</f>
        <v>286225</v>
      </c>
      <c r="AW23" s="27">
        <f t="shared" si="29"/>
        <v>286225</v>
      </c>
      <c r="AX23" s="5" t="e">
        <f aca="true" t="shared" si="33" ref="AX23:AX51">(AV22/AU23)</f>
        <v>#DIV/0!</v>
      </c>
      <c r="AY23" s="27"/>
    </row>
    <row r="24" spans="14:51" s="5" customFormat="1" ht="9.75" customHeight="1">
      <c r="N24" s="6">
        <f t="shared" si="1"/>
        <v>7</v>
      </c>
      <c r="O24" s="6">
        <f t="shared" si="2"/>
        <v>4.619999999999999</v>
      </c>
      <c r="P24" s="6">
        <f t="shared" si="3"/>
        <v>1</v>
      </c>
      <c r="Q24" s="6"/>
      <c r="R24" s="6">
        <f t="shared" si="4"/>
        <v>36293.508748199994</v>
      </c>
      <c r="S24" s="6"/>
      <c r="T24" s="6">
        <f t="shared" si="5"/>
        <v>48119.652001800016</v>
      </c>
      <c r="U24" s="6">
        <f t="shared" si="6"/>
        <v>15454.515</v>
      </c>
      <c r="V24" s="6">
        <f t="shared" si="7"/>
        <v>20402</v>
      </c>
      <c r="W24" s="6">
        <f t="shared" si="8"/>
        <v>0</v>
      </c>
      <c r="X24" s="6">
        <f t="shared" si="9"/>
        <v>0</v>
      </c>
      <c r="Y24" s="19"/>
      <c r="Z24" s="4">
        <f t="shared" si="10"/>
        <v>0</v>
      </c>
      <c r="AA24" s="19">
        <f t="shared" si="11"/>
        <v>1.9</v>
      </c>
      <c r="AB24" s="19">
        <f t="shared" si="12"/>
        <v>1.9</v>
      </c>
      <c r="AC24" s="5">
        <f t="shared" si="13"/>
        <v>1.9</v>
      </c>
      <c r="AD24" s="5">
        <f t="shared" si="14"/>
        <v>1.9</v>
      </c>
      <c r="AE24" s="5">
        <f t="shared" si="15"/>
        <v>1.9</v>
      </c>
      <c r="AF24" s="5">
        <f t="shared" si="16"/>
        <v>1.9</v>
      </c>
      <c r="AG24" s="5">
        <f t="shared" si="17"/>
        <v>1.9</v>
      </c>
      <c r="AH24" s="4">
        <f t="shared" si="18"/>
        <v>214382.52500000002</v>
      </c>
      <c r="AI24" s="27"/>
      <c r="AJ24" s="4">
        <f t="shared" si="19"/>
        <v>7878.561669999999</v>
      </c>
      <c r="AK24" s="4">
        <f t="shared" si="20"/>
        <v>11255.088099999999</v>
      </c>
      <c r="AL24" s="4">
        <f t="shared" si="21"/>
        <v>0</v>
      </c>
      <c r="AM24" s="19">
        <f t="shared" si="22"/>
        <v>1.9</v>
      </c>
      <c r="AN24" s="19">
        <f t="shared" si="23"/>
        <v>1.9</v>
      </c>
      <c r="AO24" s="5">
        <f t="shared" si="24"/>
        <v>1.9</v>
      </c>
      <c r="AP24" s="5">
        <f t="shared" si="25"/>
        <v>1.9</v>
      </c>
      <c r="AQ24" s="5">
        <f t="shared" si="26"/>
        <v>1.9</v>
      </c>
      <c r="AR24" s="5">
        <f t="shared" si="27"/>
        <v>1.9</v>
      </c>
      <c r="AS24" s="5">
        <f t="shared" si="28"/>
        <v>1.9</v>
      </c>
      <c r="AT24" s="4">
        <f t="shared" si="30"/>
        <v>91878.225</v>
      </c>
      <c r="AU24" s="27">
        <f t="shared" si="31"/>
        <v>0</v>
      </c>
      <c r="AV24" s="27">
        <f t="shared" si="32"/>
        <v>306260.75</v>
      </c>
      <c r="AW24" s="27">
        <f t="shared" si="29"/>
        <v>306260.75</v>
      </c>
      <c r="AX24" s="5" t="e">
        <f t="shared" si="33"/>
        <v>#DIV/0!</v>
      </c>
      <c r="AY24" s="27"/>
    </row>
    <row r="25" spans="14:51" s="5" customFormat="1" ht="9.75" customHeight="1">
      <c r="N25" s="6">
        <f t="shared" si="1"/>
        <v>7</v>
      </c>
      <c r="O25" s="6">
        <f t="shared" si="2"/>
        <v>4.619999999999999</v>
      </c>
      <c r="P25" s="6">
        <f t="shared" si="3"/>
        <v>1</v>
      </c>
      <c r="Q25" s="6"/>
      <c r="R25" s="6">
        <f t="shared" si="4"/>
        <v>43509.00801264599</v>
      </c>
      <c r="S25" s="6"/>
      <c r="T25" s="6">
        <f t="shared" si="5"/>
        <v>43436.54755985403</v>
      </c>
      <c r="U25" s="6">
        <f t="shared" si="6"/>
        <v>15609.060150000001</v>
      </c>
      <c r="V25" s="6">
        <f t="shared" si="7"/>
        <v>20606.019999999997</v>
      </c>
      <c r="W25" s="6">
        <f t="shared" si="8"/>
        <v>0</v>
      </c>
      <c r="X25" s="6">
        <f t="shared" si="9"/>
        <v>10000</v>
      </c>
      <c r="Y25" s="19"/>
      <c r="Z25" s="4">
        <f t="shared" si="10"/>
        <v>0</v>
      </c>
      <c r="AA25" s="19">
        <f t="shared" si="11"/>
        <v>1.9</v>
      </c>
      <c r="AB25" s="19">
        <f t="shared" si="12"/>
        <v>1.9</v>
      </c>
      <c r="AC25" s="5">
        <f t="shared" si="13"/>
        <v>1.9</v>
      </c>
      <c r="AD25" s="5">
        <f t="shared" si="14"/>
        <v>1.9</v>
      </c>
      <c r="AE25" s="5">
        <f t="shared" si="15"/>
        <v>1.9</v>
      </c>
      <c r="AF25" s="5">
        <f t="shared" si="16"/>
        <v>1.9</v>
      </c>
      <c r="AG25" s="5">
        <f t="shared" si="17"/>
        <v>1.9</v>
      </c>
      <c r="AH25" s="4">
        <f t="shared" si="18"/>
        <v>229389.30175000004</v>
      </c>
      <c r="AI25" s="27"/>
      <c r="AJ25" s="4">
        <f t="shared" si="19"/>
        <v>8114.918520099999</v>
      </c>
      <c r="AK25" s="4">
        <f t="shared" si="20"/>
        <v>11592.740742999998</v>
      </c>
      <c r="AL25" s="4">
        <f t="shared" si="21"/>
        <v>0</v>
      </c>
      <c r="AM25" s="19">
        <f t="shared" si="22"/>
        <v>1.9</v>
      </c>
      <c r="AN25" s="19">
        <f t="shared" si="23"/>
        <v>1.9</v>
      </c>
      <c r="AO25" s="5">
        <f t="shared" si="24"/>
        <v>1.9</v>
      </c>
      <c r="AP25" s="5">
        <f t="shared" si="25"/>
        <v>1.9</v>
      </c>
      <c r="AQ25" s="5">
        <f t="shared" si="26"/>
        <v>1.9</v>
      </c>
      <c r="AR25" s="5">
        <f t="shared" si="27"/>
        <v>1.9</v>
      </c>
      <c r="AS25" s="5">
        <f t="shared" si="28"/>
        <v>1.9</v>
      </c>
      <c r="AT25" s="4">
        <f t="shared" si="30"/>
        <v>98309.70075000002</v>
      </c>
      <c r="AU25" s="27">
        <f t="shared" si="31"/>
        <v>0</v>
      </c>
      <c r="AV25" s="27">
        <f t="shared" si="32"/>
        <v>327699.00250000006</v>
      </c>
      <c r="AW25" s="27">
        <f t="shared" si="29"/>
        <v>327699.00250000006</v>
      </c>
      <c r="AX25" s="5" t="e">
        <f t="shared" si="33"/>
        <v>#DIV/0!</v>
      </c>
      <c r="AY25" s="27"/>
    </row>
    <row r="26" spans="14:51" s="5" customFormat="1" ht="9.75" customHeight="1">
      <c r="N26" s="6">
        <f t="shared" si="1"/>
        <v>7</v>
      </c>
      <c r="O26" s="6">
        <f t="shared" si="2"/>
        <v>4.619999999999999</v>
      </c>
      <c r="P26" s="6">
        <f t="shared" si="3"/>
        <v>1</v>
      </c>
      <c r="Q26" s="6"/>
      <c r="R26" s="6">
        <f t="shared" si="4"/>
        <v>44270.239195045375</v>
      </c>
      <c r="S26" s="6"/>
      <c r="T26" s="6">
        <f t="shared" si="5"/>
        <v>45283.68304462964</v>
      </c>
      <c r="U26" s="6">
        <f t="shared" si="6"/>
        <v>15765.1507515</v>
      </c>
      <c r="V26" s="6">
        <f t="shared" si="7"/>
        <v>20812.0802</v>
      </c>
      <c r="W26" s="6">
        <f t="shared" si="8"/>
        <v>0</v>
      </c>
      <c r="X26" s="6">
        <f t="shared" si="9"/>
        <v>10200</v>
      </c>
      <c r="Y26" s="19"/>
      <c r="Z26" s="4">
        <f t="shared" si="10"/>
        <v>0</v>
      </c>
      <c r="AA26" s="19">
        <f t="shared" si="11"/>
        <v>1.9</v>
      </c>
      <c r="AB26" s="19">
        <f t="shared" si="12"/>
        <v>1.9</v>
      </c>
      <c r="AC26" s="5">
        <f t="shared" si="13"/>
        <v>1.9</v>
      </c>
      <c r="AD26" s="5">
        <f t="shared" si="14"/>
        <v>1.9</v>
      </c>
      <c r="AE26" s="5">
        <f t="shared" si="15"/>
        <v>1.9</v>
      </c>
      <c r="AF26" s="5">
        <f t="shared" si="16"/>
        <v>1.9</v>
      </c>
      <c r="AG26" s="5">
        <f t="shared" si="17"/>
        <v>1.9</v>
      </c>
      <c r="AH26" s="4">
        <f t="shared" si="18"/>
        <v>245446.55287250006</v>
      </c>
      <c r="AI26" s="27"/>
      <c r="AJ26" s="4">
        <f t="shared" si="19"/>
        <v>8358.366075703</v>
      </c>
      <c r="AK26" s="4">
        <f t="shared" si="20"/>
        <v>11940.52296529</v>
      </c>
      <c r="AL26" s="4">
        <f t="shared" si="21"/>
        <v>0</v>
      </c>
      <c r="AM26" s="19">
        <f t="shared" si="22"/>
        <v>1.9</v>
      </c>
      <c r="AN26" s="19">
        <f t="shared" si="23"/>
        <v>1.9</v>
      </c>
      <c r="AO26" s="5">
        <f t="shared" si="24"/>
        <v>1.9</v>
      </c>
      <c r="AP26" s="5">
        <f t="shared" si="25"/>
        <v>1.9</v>
      </c>
      <c r="AQ26" s="5">
        <f t="shared" si="26"/>
        <v>1.9</v>
      </c>
      <c r="AR26" s="5">
        <f t="shared" si="27"/>
        <v>1.9</v>
      </c>
      <c r="AS26" s="5">
        <f t="shared" si="28"/>
        <v>1.9</v>
      </c>
      <c r="AT26" s="4">
        <f t="shared" si="30"/>
        <v>105191.37980250003</v>
      </c>
      <c r="AU26" s="27">
        <f t="shared" si="31"/>
        <v>0</v>
      </c>
      <c r="AV26" s="27">
        <f t="shared" si="32"/>
        <v>350637.9326750001</v>
      </c>
      <c r="AW26" s="27">
        <f t="shared" si="29"/>
        <v>350637.9326750001</v>
      </c>
      <c r="AX26" s="5" t="e">
        <f t="shared" si="33"/>
        <v>#DIV/0!</v>
      </c>
      <c r="AY26" s="27"/>
    </row>
    <row r="27" spans="14:51" s="5" customFormat="1" ht="9.75" customHeight="1">
      <c r="N27" s="6">
        <f t="shared" si="1"/>
        <v>7</v>
      </c>
      <c r="O27" s="6">
        <f t="shared" si="2"/>
        <v>4.619999999999999</v>
      </c>
      <c r="P27" s="6">
        <f t="shared" si="3"/>
        <v>1</v>
      </c>
      <c r="Q27" s="6"/>
      <c r="R27" s="6">
        <f t="shared" si="4"/>
        <v>56240.42315941176</v>
      </c>
      <c r="S27" s="6"/>
      <c r="T27" s="6">
        <f t="shared" si="5"/>
        <v>36000.1167474535</v>
      </c>
      <c r="U27" s="6">
        <f t="shared" si="6"/>
        <v>15922.802259015001</v>
      </c>
      <c r="V27" s="6">
        <f t="shared" si="7"/>
        <v>21020.201001999998</v>
      </c>
      <c r="W27" s="6">
        <f t="shared" si="8"/>
        <v>8000</v>
      </c>
      <c r="X27" s="6">
        <f t="shared" si="9"/>
        <v>10404</v>
      </c>
      <c r="Y27" s="19"/>
      <c r="Z27" s="4">
        <f t="shared" si="10"/>
        <v>8957.903389507303</v>
      </c>
      <c r="AA27" s="19">
        <f t="shared" si="11"/>
        <v>1.9</v>
      </c>
      <c r="AB27" s="19">
        <f t="shared" si="12"/>
        <v>1.9</v>
      </c>
      <c r="AC27" s="5">
        <f t="shared" si="13"/>
        <v>1.9</v>
      </c>
      <c r="AD27" s="5">
        <f t="shared" si="14"/>
        <v>1.9</v>
      </c>
      <c r="AE27" s="5">
        <f t="shared" si="15"/>
        <v>1.9</v>
      </c>
      <c r="AF27" s="5">
        <f t="shared" si="16"/>
        <v>1.9</v>
      </c>
      <c r="AG27" s="5">
        <f t="shared" si="17"/>
        <v>1.9</v>
      </c>
      <c r="AH27" s="4">
        <f t="shared" si="18"/>
        <v>253669.90818406778</v>
      </c>
      <c r="AI27" s="27"/>
      <c r="AJ27" s="4">
        <f t="shared" si="19"/>
        <v>8609.11705797409</v>
      </c>
      <c r="AK27" s="4">
        <f t="shared" si="20"/>
        <v>12298.7386542487</v>
      </c>
      <c r="AL27" s="4">
        <f t="shared" si="21"/>
        <v>0</v>
      </c>
      <c r="AM27" s="19">
        <f t="shared" si="22"/>
        <v>1.9</v>
      </c>
      <c r="AN27" s="19">
        <f t="shared" si="23"/>
        <v>1.9</v>
      </c>
      <c r="AO27" s="5">
        <f t="shared" si="24"/>
        <v>1.9</v>
      </c>
      <c r="AP27" s="5">
        <f t="shared" si="25"/>
        <v>1.9</v>
      </c>
      <c r="AQ27" s="5">
        <f t="shared" si="26"/>
        <v>1.9</v>
      </c>
      <c r="AR27" s="5">
        <f t="shared" si="27"/>
        <v>1.9</v>
      </c>
      <c r="AS27" s="5">
        <f t="shared" si="28"/>
        <v>1.9</v>
      </c>
      <c r="AT27" s="4">
        <f t="shared" si="30"/>
        <v>112554.77638867503</v>
      </c>
      <c r="AU27" s="27">
        <f t="shared" si="31"/>
        <v>8957.903389507303</v>
      </c>
      <c r="AV27" s="27">
        <f t="shared" si="32"/>
        <v>366224.6845727428</v>
      </c>
      <c r="AW27" s="27">
        <f t="shared" si="29"/>
        <v>366224.6845727428</v>
      </c>
      <c r="AX27" s="5">
        <f t="shared" si="33"/>
        <v>39.14285714285714</v>
      </c>
      <c r="AY27" s="27"/>
    </row>
    <row r="28" spans="14:51" s="5" customFormat="1" ht="9.75" customHeight="1">
      <c r="N28" s="6">
        <f t="shared" si="1"/>
        <v>7</v>
      </c>
      <c r="O28" s="6">
        <f t="shared" si="2"/>
        <v>4.619999999999999</v>
      </c>
      <c r="P28" s="6">
        <f t="shared" si="3"/>
        <v>1</v>
      </c>
      <c r="Q28" s="6"/>
      <c r="R28" s="6">
        <f t="shared" si="4"/>
        <v>57441.155668149746</v>
      </c>
      <c r="S28" s="6"/>
      <c r="T28" s="6">
        <f t="shared" si="5"/>
        <v>37566.60043592147</v>
      </c>
      <c r="U28" s="6">
        <f t="shared" si="6"/>
        <v>16082.030281605148</v>
      </c>
      <c r="V28" s="6">
        <f t="shared" si="7"/>
        <v>21230.403012020004</v>
      </c>
      <c r="W28" s="6">
        <f t="shared" si="8"/>
        <v>8000</v>
      </c>
      <c r="X28" s="6">
        <f t="shared" si="9"/>
        <v>10612.08</v>
      </c>
      <c r="Y28" s="19"/>
      <c r="Z28" s="4">
        <f t="shared" si="10"/>
        <v>9572.44936543652</v>
      </c>
      <c r="AA28" s="19">
        <f t="shared" si="11"/>
        <v>1.9</v>
      </c>
      <c r="AB28" s="19">
        <f t="shared" si="12"/>
        <v>1.9</v>
      </c>
      <c r="AC28" s="5">
        <f t="shared" si="13"/>
        <v>1.9</v>
      </c>
      <c r="AD28" s="5">
        <f t="shared" si="14"/>
        <v>1.9</v>
      </c>
      <c r="AE28" s="5">
        <f t="shared" si="15"/>
        <v>1.9</v>
      </c>
      <c r="AF28" s="5">
        <f t="shared" si="16"/>
        <v>1.9</v>
      </c>
      <c r="AG28" s="5">
        <f t="shared" si="17"/>
        <v>1.9</v>
      </c>
      <c r="AH28" s="4">
        <f t="shared" si="18"/>
        <v>261854.35239151603</v>
      </c>
      <c r="AI28" s="27"/>
      <c r="AJ28" s="4">
        <f t="shared" si="19"/>
        <v>8867.390569713312</v>
      </c>
      <c r="AK28" s="4">
        <f t="shared" si="20"/>
        <v>12667.70081387616</v>
      </c>
      <c r="AL28" s="4">
        <f t="shared" si="21"/>
        <v>0</v>
      </c>
      <c r="AM28" s="19">
        <f t="shared" si="22"/>
        <v>1.9</v>
      </c>
      <c r="AN28" s="19">
        <f t="shared" si="23"/>
        <v>1.9</v>
      </c>
      <c r="AO28" s="5">
        <f t="shared" si="24"/>
        <v>1.9</v>
      </c>
      <c r="AP28" s="5">
        <f t="shared" si="25"/>
        <v>1.9</v>
      </c>
      <c r="AQ28" s="5">
        <f t="shared" si="26"/>
        <v>1.9</v>
      </c>
      <c r="AR28" s="5">
        <f t="shared" si="27"/>
        <v>1.9</v>
      </c>
      <c r="AS28" s="5">
        <f t="shared" si="28"/>
        <v>1.9</v>
      </c>
      <c r="AT28" s="4">
        <f t="shared" si="30"/>
        <v>120433.61073588229</v>
      </c>
      <c r="AU28" s="27">
        <f t="shared" si="31"/>
        <v>9572.44936543652</v>
      </c>
      <c r="AV28" s="27">
        <f t="shared" si="32"/>
        <v>382287.96312739834</v>
      </c>
      <c r="AW28" s="27">
        <f t="shared" si="29"/>
        <v>382287.96312739834</v>
      </c>
      <c r="AX28" s="5">
        <f t="shared" si="33"/>
        <v>38.258200236094154</v>
      </c>
      <c r="AY28" s="27"/>
    </row>
    <row r="29" spans="14:51" s="5" customFormat="1" ht="9.75" customHeight="1">
      <c r="N29" s="6">
        <f t="shared" si="1"/>
        <v>7</v>
      </c>
      <c r="O29" s="6">
        <f t="shared" si="2"/>
        <v>4.619999999999999</v>
      </c>
      <c r="P29" s="6">
        <f t="shared" si="3"/>
        <v>1</v>
      </c>
      <c r="Q29" s="6"/>
      <c r="R29" s="6">
        <f t="shared" si="4"/>
        <v>61587.96352175711</v>
      </c>
      <c r="S29" s="6"/>
      <c r="T29" s="6">
        <f t="shared" si="5"/>
        <v>36270.02526543625</v>
      </c>
      <c r="U29" s="6">
        <f t="shared" si="6"/>
        <v>16242.850584421203</v>
      </c>
      <c r="V29" s="6">
        <f t="shared" si="7"/>
        <v>21442.707042140195</v>
      </c>
      <c r="W29" s="6">
        <f t="shared" si="8"/>
        <v>8000</v>
      </c>
      <c r="X29" s="6">
        <f t="shared" si="9"/>
        <v>10824.3216</v>
      </c>
      <c r="Y29" s="19"/>
      <c r="Z29" s="4">
        <f t="shared" si="10"/>
        <v>10228.685640293594</v>
      </c>
      <c r="AA29" s="19">
        <f t="shared" si="11"/>
        <v>1.9</v>
      </c>
      <c r="AB29" s="19">
        <f t="shared" si="12"/>
        <v>1.9</v>
      </c>
      <c r="AC29" s="5">
        <f t="shared" si="13"/>
        <v>1.9</v>
      </c>
      <c r="AD29" s="5">
        <f t="shared" si="14"/>
        <v>1.9</v>
      </c>
      <c r="AE29" s="5">
        <f t="shared" si="15"/>
        <v>1.9</v>
      </c>
      <c r="AF29" s="5">
        <f t="shared" si="16"/>
        <v>1.9</v>
      </c>
      <c r="AG29" s="5">
        <f t="shared" si="17"/>
        <v>1.9</v>
      </c>
      <c r="AH29" s="4">
        <f t="shared" si="18"/>
        <v>269955.4714186286</v>
      </c>
      <c r="AI29" s="27"/>
      <c r="AJ29" s="4">
        <f t="shared" si="19"/>
        <v>9133.41228680471</v>
      </c>
      <c r="AK29" s="4">
        <f t="shared" si="20"/>
        <v>13047.731838292444</v>
      </c>
      <c r="AL29" s="4">
        <f t="shared" si="21"/>
        <v>4395.38725313439</v>
      </c>
      <c r="AM29" s="19">
        <f t="shared" si="22"/>
        <v>1.9</v>
      </c>
      <c r="AN29" s="19">
        <f t="shared" si="23"/>
        <v>1.9</v>
      </c>
      <c r="AO29" s="5">
        <f t="shared" si="24"/>
        <v>1.9</v>
      </c>
      <c r="AP29" s="5">
        <f t="shared" si="25"/>
        <v>1.9</v>
      </c>
      <c r="AQ29" s="5">
        <f t="shared" si="26"/>
        <v>1.9</v>
      </c>
      <c r="AR29" s="5">
        <f t="shared" si="27"/>
        <v>1.9</v>
      </c>
      <c r="AS29" s="5">
        <f t="shared" si="28"/>
        <v>1.9</v>
      </c>
      <c r="AT29" s="4">
        <f t="shared" si="30"/>
        <v>124468.57623425967</v>
      </c>
      <c r="AU29" s="27">
        <f t="shared" si="31"/>
        <v>14624.072893427983</v>
      </c>
      <c r="AV29" s="27">
        <f t="shared" si="32"/>
        <v>394424.0476528882</v>
      </c>
      <c r="AW29" s="27">
        <f t="shared" si="29"/>
        <v>394424.0476528882</v>
      </c>
      <c r="AX29" s="5">
        <f t="shared" si="33"/>
        <v>26.141005034185618</v>
      </c>
      <c r="AY29" s="27"/>
    </row>
    <row r="30" spans="14:51" s="5" customFormat="1" ht="9.75" customHeight="1">
      <c r="N30" s="6">
        <f t="shared" si="1"/>
        <v>7</v>
      </c>
      <c r="O30" s="6">
        <f t="shared" si="2"/>
        <v>4.619999999999999</v>
      </c>
      <c r="P30" s="6">
        <f t="shared" si="3"/>
        <v>1</v>
      </c>
      <c r="Q30" s="6"/>
      <c r="R30" s="6">
        <f t="shared" si="4"/>
        <v>63080.22494481745</v>
      </c>
      <c r="S30" s="6"/>
      <c r="T30" s="6">
        <f t="shared" si="5"/>
        <v>37713.50350599172</v>
      </c>
      <c r="U30" s="6">
        <f t="shared" si="6"/>
        <v>16405.279090265416</v>
      </c>
      <c r="V30" s="6">
        <f t="shared" si="7"/>
        <v>21657.134112561605</v>
      </c>
      <c r="W30" s="6">
        <f t="shared" si="8"/>
        <v>8000</v>
      </c>
      <c r="X30" s="6">
        <f t="shared" si="9"/>
        <v>11040.808032</v>
      </c>
      <c r="Y30" s="19"/>
      <c r="Z30" s="4">
        <f t="shared" si="10"/>
        <v>10929.371312495085</v>
      </c>
      <c r="AA30" s="19">
        <f t="shared" si="11"/>
        <v>1.9</v>
      </c>
      <c r="AB30" s="19">
        <f t="shared" si="12"/>
        <v>1.9</v>
      </c>
      <c r="AC30" s="5">
        <f t="shared" si="13"/>
        <v>1.9</v>
      </c>
      <c r="AD30" s="5">
        <f t="shared" si="14"/>
        <v>1.9</v>
      </c>
      <c r="AE30" s="5">
        <f t="shared" si="15"/>
        <v>1.9</v>
      </c>
      <c r="AF30" s="5">
        <f t="shared" si="16"/>
        <v>1.9</v>
      </c>
      <c r="AG30" s="5">
        <f t="shared" si="17"/>
        <v>1.9</v>
      </c>
      <c r="AH30" s="4">
        <f t="shared" si="18"/>
        <v>277922.98310543754</v>
      </c>
      <c r="AI30" s="27"/>
      <c r="AJ30" s="4">
        <f t="shared" si="19"/>
        <v>9407.414655408853</v>
      </c>
      <c r="AK30" s="4">
        <f t="shared" si="20"/>
        <v>13439.163793441217</v>
      </c>
      <c r="AL30" s="4">
        <f t="shared" si="21"/>
        <v>4696.927405066403</v>
      </c>
      <c r="AM30" s="19">
        <f t="shared" si="22"/>
        <v>1.9</v>
      </c>
      <c r="AN30" s="19">
        <f t="shared" si="23"/>
        <v>1.9</v>
      </c>
      <c r="AO30" s="5">
        <f t="shared" si="24"/>
        <v>1.9</v>
      </c>
      <c r="AP30" s="5">
        <f t="shared" si="25"/>
        <v>1.9</v>
      </c>
      <c r="AQ30" s="5">
        <f t="shared" si="26"/>
        <v>1.9</v>
      </c>
      <c r="AR30" s="5">
        <f t="shared" si="27"/>
        <v>1.9</v>
      </c>
      <c r="AS30" s="5">
        <f t="shared" si="28"/>
        <v>1.9</v>
      </c>
      <c r="AT30" s="4">
        <f t="shared" si="30"/>
        <v>128484.44916559145</v>
      </c>
      <c r="AU30" s="27">
        <f t="shared" si="31"/>
        <v>15626.298717561487</v>
      </c>
      <c r="AV30" s="27">
        <f t="shared" si="32"/>
        <v>406407.432271029</v>
      </c>
      <c r="AW30" s="27">
        <f t="shared" si="29"/>
        <v>406407.432271029</v>
      </c>
      <c r="AX30" s="5">
        <f t="shared" si="33"/>
        <v>25.241041066853406</v>
      </c>
      <c r="AY30" s="27"/>
    </row>
    <row r="31" spans="14:51" s="5" customFormat="1" ht="9.75" customHeight="1">
      <c r="N31" s="6">
        <f t="shared" si="1"/>
        <v>7</v>
      </c>
      <c r="O31" s="6">
        <f t="shared" si="2"/>
        <v>4.619999999999999</v>
      </c>
      <c r="P31" s="6">
        <f t="shared" si="3"/>
        <v>1</v>
      </c>
      <c r="Q31" s="6"/>
      <c r="R31" s="6">
        <f t="shared" si="4"/>
        <v>64635.778277582234</v>
      </c>
      <c r="S31" s="6"/>
      <c r="T31" s="6">
        <f t="shared" si="5"/>
        <v>39181.76202675122</v>
      </c>
      <c r="U31" s="6">
        <f t="shared" si="6"/>
        <v>16569.331881168073</v>
      </c>
      <c r="V31" s="6">
        <f t="shared" si="7"/>
        <v>21873.705453687224</v>
      </c>
      <c r="W31" s="6">
        <f t="shared" si="8"/>
        <v>8000</v>
      </c>
      <c r="X31" s="6">
        <f t="shared" si="9"/>
        <v>11261.62419264</v>
      </c>
      <c r="Y31" s="19"/>
      <c r="Z31" s="4">
        <f t="shared" si="10"/>
        <v>11677.43626493435</v>
      </c>
      <c r="AA31" s="19">
        <f t="shared" si="11"/>
        <v>1.9</v>
      </c>
      <c r="AB31" s="19">
        <f t="shared" si="12"/>
        <v>1.9</v>
      </c>
      <c r="AC31" s="5">
        <f t="shared" si="13"/>
        <v>1.9</v>
      </c>
      <c r="AD31" s="5">
        <f t="shared" si="14"/>
        <v>1.9</v>
      </c>
      <c r="AE31" s="5">
        <f t="shared" si="15"/>
        <v>1.9</v>
      </c>
      <c r="AF31" s="5">
        <f t="shared" si="16"/>
        <v>1.9</v>
      </c>
      <c r="AG31" s="5">
        <f t="shared" si="17"/>
        <v>1.9</v>
      </c>
      <c r="AH31" s="4">
        <f t="shared" si="18"/>
        <v>285700.1556578838</v>
      </c>
      <c r="AI31" s="27"/>
      <c r="AJ31" s="4">
        <f t="shared" si="19"/>
        <v>9689.637095071119</v>
      </c>
      <c r="AK31" s="4">
        <f t="shared" si="20"/>
        <v>13842.338707244455</v>
      </c>
      <c r="AL31" s="4">
        <f t="shared" si="21"/>
        <v>5018.923795530915</v>
      </c>
      <c r="AM31" s="19">
        <f t="shared" si="22"/>
        <v>1.9</v>
      </c>
      <c r="AN31" s="19">
        <f t="shared" si="23"/>
        <v>1.9</v>
      </c>
      <c r="AO31" s="5">
        <f t="shared" si="24"/>
        <v>1.9</v>
      </c>
      <c r="AP31" s="5">
        <f t="shared" si="25"/>
        <v>1.9</v>
      </c>
      <c r="AQ31" s="5">
        <f t="shared" si="26"/>
        <v>1.9</v>
      </c>
      <c r="AR31" s="5">
        <f t="shared" si="27"/>
        <v>1.9</v>
      </c>
      <c r="AS31" s="5">
        <f t="shared" si="28"/>
        <v>1.9</v>
      </c>
      <c r="AT31" s="4">
        <f t="shared" si="30"/>
        <v>132459.43681165195</v>
      </c>
      <c r="AU31" s="27">
        <f t="shared" si="31"/>
        <v>16696.360060465264</v>
      </c>
      <c r="AV31" s="27">
        <f t="shared" si="32"/>
        <v>418159.59246953577</v>
      </c>
      <c r="AW31" s="27">
        <f t="shared" si="29"/>
        <v>418159.59246953577</v>
      </c>
      <c r="AX31" s="5">
        <f t="shared" si="33"/>
        <v>24.341079780217914</v>
      </c>
      <c r="AY31" s="27"/>
    </row>
    <row r="32" spans="14:51" s="5" customFormat="1" ht="9.75" customHeight="1">
      <c r="N32" s="6">
        <f t="shared" si="1"/>
        <v>7</v>
      </c>
      <c r="O32" s="6">
        <f t="shared" si="2"/>
        <v>4.619999999999999</v>
      </c>
      <c r="P32" s="6">
        <f t="shared" si="3"/>
        <v>1</v>
      </c>
      <c r="Q32" s="6"/>
      <c r="R32" s="6">
        <f t="shared" si="4"/>
        <v>60978.04615743048</v>
      </c>
      <c r="S32" s="6"/>
      <c r="T32" s="6">
        <f t="shared" si="5"/>
        <v>45954.02035603298</v>
      </c>
      <c r="U32" s="6">
        <f t="shared" si="6"/>
        <v>16735.025199979747</v>
      </c>
      <c r="V32" s="6">
        <f t="shared" si="7"/>
        <v>22092.442508224096</v>
      </c>
      <c r="W32" s="6">
        <f t="shared" si="8"/>
        <v>0</v>
      </c>
      <c r="X32" s="6">
        <f t="shared" si="9"/>
        <v>11486.856676492798</v>
      </c>
      <c r="Y32" s="19"/>
      <c r="Z32" s="4">
        <f t="shared" si="10"/>
        <v>12475.989330038594</v>
      </c>
      <c r="AA32" s="19">
        <f t="shared" si="11"/>
        <v>1.9</v>
      </c>
      <c r="AB32" s="19">
        <f t="shared" si="12"/>
        <v>1.9</v>
      </c>
      <c r="AC32" s="5">
        <f t="shared" si="13"/>
        <v>1.9</v>
      </c>
      <c r="AD32" s="5">
        <f t="shared" si="14"/>
        <v>1.9</v>
      </c>
      <c r="AE32" s="5">
        <f t="shared" si="15"/>
        <v>1.9</v>
      </c>
      <c r="AF32" s="5">
        <f t="shared" si="16"/>
        <v>1.9</v>
      </c>
      <c r="AG32" s="5">
        <f t="shared" si="17"/>
        <v>1.9</v>
      </c>
      <c r="AH32" s="4">
        <f t="shared" si="18"/>
        <v>293223.1772238971</v>
      </c>
      <c r="AI32" s="27"/>
      <c r="AJ32" s="4">
        <f t="shared" si="19"/>
        <v>9980.32620792325</v>
      </c>
      <c r="AK32" s="4">
        <f t="shared" si="20"/>
        <v>14257.608868461786</v>
      </c>
      <c r="AL32" s="4">
        <f t="shared" si="21"/>
        <v>5362.730235289553</v>
      </c>
      <c r="AM32" s="19">
        <f t="shared" si="22"/>
        <v>1.9</v>
      </c>
      <c r="AN32" s="19">
        <f t="shared" si="23"/>
        <v>1.9</v>
      </c>
      <c r="AO32" s="5">
        <f t="shared" si="24"/>
        <v>1.9</v>
      </c>
      <c r="AP32" s="5">
        <f t="shared" si="25"/>
        <v>1.9</v>
      </c>
      <c r="AQ32" s="5">
        <f t="shared" si="26"/>
        <v>1.9</v>
      </c>
      <c r="AR32" s="5">
        <f t="shared" si="27"/>
        <v>1.9</v>
      </c>
      <c r="AS32" s="5">
        <f t="shared" si="28"/>
        <v>1.9</v>
      </c>
      <c r="AT32" s="4">
        <f t="shared" si="30"/>
        <v>136368.86715317806</v>
      </c>
      <c r="AU32" s="27">
        <f t="shared" si="31"/>
        <v>17838.719565328145</v>
      </c>
      <c r="AV32" s="27">
        <f t="shared" si="32"/>
        <v>429592.04437707516</v>
      </c>
      <c r="AW32" s="27">
        <f t="shared" si="29"/>
        <v>429592.04437707516</v>
      </c>
      <c r="AX32" s="5">
        <f t="shared" si="33"/>
        <v>23.441121485102716</v>
      </c>
      <c r="AY32" s="27"/>
    </row>
    <row r="33" spans="14:51" s="5" customFormat="1" ht="9.75" customHeight="1">
      <c r="N33" s="6">
        <f t="shared" si="1"/>
        <v>7</v>
      </c>
      <c r="O33" s="6">
        <f t="shared" si="2"/>
        <v>4.619999999999999</v>
      </c>
      <c r="P33" s="6">
        <f t="shared" si="3"/>
        <v>1</v>
      </c>
      <c r="Q33" s="6"/>
      <c r="R33" s="6">
        <f t="shared" si="4"/>
        <v>62670.6431310974</v>
      </c>
      <c r="S33" s="6"/>
      <c r="T33" s="6">
        <f t="shared" si="5"/>
        <v>47469.38537776997</v>
      </c>
      <c r="U33" s="6">
        <f t="shared" si="6"/>
        <v>16902.375451979548</v>
      </c>
      <c r="V33" s="6">
        <f t="shared" si="7"/>
        <v>22313.36693330633</v>
      </c>
      <c r="W33" s="6">
        <f t="shared" si="8"/>
        <v>0</v>
      </c>
      <c r="X33" s="6">
        <f t="shared" si="9"/>
        <v>11716.593810022656</v>
      </c>
      <c r="Y33" s="19"/>
      <c r="Z33" s="4">
        <f t="shared" si="10"/>
        <v>13328.326237449866</v>
      </c>
      <c r="AA33" s="19">
        <f t="shared" si="11"/>
        <v>22</v>
      </c>
      <c r="AB33" s="19">
        <f t="shared" si="12"/>
        <v>1.9</v>
      </c>
      <c r="AC33" s="5">
        <f t="shared" si="13"/>
        <v>1.9</v>
      </c>
      <c r="AD33" s="5">
        <f t="shared" si="14"/>
        <v>1.9</v>
      </c>
      <c r="AE33" s="5">
        <f t="shared" si="15"/>
        <v>1.9</v>
      </c>
      <c r="AF33" s="5">
        <f t="shared" si="16"/>
        <v>1.9</v>
      </c>
      <c r="AG33" s="5">
        <f t="shared" si="17"/>
        <v>1.9</v>
      </c>
      <c r="AH33" s="4">
        <f t="shared" si="18"/>
        <v>300420.47339212</v>
      </c>
      <c r="AI33" s="27"/>
      <c r="AJ33" s="4">
        <f t="shared" si="19"/>
        <v>10279.735994160947</v>
      </c>
      <c r="AK33" s="4">
        <f t="shared" si="20"/>
        <v>14685.33713451564</v>
      </c>
      <c r="AL33" s="4">
        <f t="shared" si="21"/>
        <v>5729.784334167145</v>
      </c>
      <c r="AM33" s="19">
        <f t="shared" si="22"/>
        <v>1.9</v>
      </c>
      <c r="AN33" s="19">
        <f t="shared" si="23"/>
        <v>1.9</v>
      </c>
      <c r="AO33" s="5">
        <f t="shared" si="24"/>
        <v>1.9</v>
      </c>
      <c r="AP33" s="5">
        <f t="shared" si="25"/>
        <v>1.9</v>
      </c>
      <c r="AQ33" s="5">
        <f t="shared" si="26"/>
        <v>1.9</v>
      </c>
      <c r="AR33" s="5">
        <f t="shared" si="27"/>
        <v>1.9</v>
      </c>
      <c r="AS33" s="5">
        <f t="shared" si="28"/>
        <v>1.9</v>
      </c>
      <c r="AT33" s="4">
        <f t="shared" si="30"/>
        <v>140184.9035197334</v>
      </c>
      <c r="AU33" s="27">
        <f t="shared" si="31"/>
        <v>19058.110571617013</v>
      </c>
      <c r="AV33" s="27">
        <f t="shared" si="32"/>
        <v>440605.3769118534</v>
      </c>
      <c r="AW33" s="27">
        <f t="shared" si="29"/>
        <v>440605.3769118534</v>
      </c>
      <c r="AX33" s="5">
        <f t="shared" si="33"/>
        <v>22.54116654233609</v>
      </c>
      <c r="AY33" s="27"/>
    </row>
    <row r="34" spans="14:51" s="5" customFormat="1" ht="9.75" customHeight="1">
      <c r="N34" s="6">
        <f t="shared" si="1"/>
        <v>7</v>
      </c>
      <c r="O34" s="6">
        <f t="shared" si="2"/>
        <v>4.619999999999999</v>
      </c>
      <c r="P34" s="6">
        <f t="shared" si="3"/>
        <v>1</v>
      </c>
      <c r="Q34" s="6"/>
      <c r="R34" s="6">
        <f t="shared" si="4"/>
        <v>64393.05798559178</v>
      </c>
      <c r="S34" s="6"/>
      <c r="T34" s="6">
        <f t="shared" si="5"/>
        <v>49051.171378541614</v>
      </c>
      <c r="U34" s="6">
        <f t="shared" si="6"/>
        <v>17071.399206499344</v>
      </c>
      <c r="V34" s="6">
        <f t="shared" si="7"/>
        <v>22536.500602639397</v>
      </c>
      <c r="W34" s="6">
        <f t="shared" si="8"/>
        <v>0</v>
      </c>
      <c r="X34" s="6">
        <f t="shared" si="9"/>
        <v>11950.925686223109</v>
      </c>
      <c r="Y34" s="19"/>
      <c r="Z34" s="4">
        <f t="shared" si="10"/>
        <v>14170.777046798114</v>
      </c>
      <c r="AA34" s="19">
        <f t="shared" si="11"/>
        <v>21.2</v>
      </c>
      <c r="AB34" s="19">
        <f t="shared" si="12"/>
        <v>1.9</v>
      </c>
      <c r="AC34" s="5">
        <f t="shared" si="13"/>
        <v>1.9</v>
      </c>
      <c r="AD34" s="5">
        <f t="shared" si="14"/>
        <v>1.9</v>
      </c>
      <c r="AE34" s="5">
        <f t="shared" si="15"/>
        <v>1.9</v>
      </c>
      <c r="AF34" s="5">
        <f t="shared" si="16"/>
        <v>1.9</v>
      </c>
      <c r="AG34" s="5">
        <f t="shared" si="17"/>
        <v>1.9</v>
      </c>
      <c r="AH34" s="4">
        <f t="shared" si="18"/>
        <v>307279.12948277034</v>
      </c>
      <c r="AI34" s="27"/>
      <c r="AJ34" s="4">
        <f t="shared" si="19"/>
        <v>10588.128073985778</v>
      </c>
      <c r="AK34" s="4">
        <f t="shared" si="20"/>
        <v>15125.89724855111</v>
      </c>
      <c r="AL34" s="4">
        <f t="shared" si="21"/>
        <v>6121.611507411939</v>
      </c>
      <c r="AM34" s="19">
        <f t="shared" si="22"/>
        <v>1.9</v>
      </c>
      <c r="AN34" s="19">
        <f t="shared" si="23"/>
        <v>1.9</v>
      </c>
      <c r="AO34" s="5">
        <f t="shared" si="24"/>
        <v>1.9</v>
      </c>
      <c r="AP34" s="5">
        <f t="shared" si="25"/>
        <v>1.9</v>
      </c>
      <c r="AQ34" s="5">
        <f t="shared" si="26"/>
        <v>1.9</v>
      </c>
      <c r="AR34" s="5">
        <f t="shared" si="27"/>
        <v>1.9</v>
      </c>
      <c r="AS34" s="5">
        <f t="shared" si="28"/>
        <v>1.9</v>
      </c>
      <c r="AT34" s="4">
        <f t="shared" si="30"/>
        <v>143876.23525870283</v>
      </c>
      <c r="AU34" s="27">
        <f t="shared" si="31"/>
        <v>20292.388554210054</v>
      </c>
      <c r="AV34" s="27">
        <f t="shared" si="32"/>
        <v>451155.36474147317</v>
      </c>
      <c r="AW34" s="27">
        <f t="shared" si="29"/>
        <v>451155.36474147317</v>
      </c>
      <c r="AX34" s="5">
        <f t="shared" si="33"/>
        <v>21.71283955729505</v>
      </c>
      <c r="AY34" s="27"/>
    </row>
    <row r="35" spans="14:51" s="5" customFormat="1" ht="9.75" customHeight="1">
      <c r="N35" s="6">
        <f t="shared" si="1"/>
        <v>7</v>
      </c>
      <c r="O35" s="6">
        <f t="shared" si="2"/>
        <v>4.619999999999999</v>
      </c>
      <c r="P35" s="6">
        <f t="shared" si="3"/>
        <v>1</v>
      </c>
      <c r="Q35" s="6"/>
      <c r="R35" s="6">
        <f t="shared" si="4"/>
        <v>66235.0265906815</v>
      </c>
      <c r="S35" s="6"/>
      <c r="T35" s="6">
        <f t="shared" si="5"/>
        <v>50612.5296543759</v>
      </c>
      <c r="U35" s="6">
        <f t="shared" si="6"/>
        <v>17242.113198564337</v>
      </c>
      <c r="V35" s="6">
        <f t="shared" si="7"/>
        <v>22761.86560866579</v>
      </c>
      <c r="W35" s="6">
        <f t="shared" si="8"/>
        <v>0</v>
      </c>
      <c r="X35" s="6">
        <f t="shared" si="9"/>
        <v>12189.944199947571</v>
      </c>
      <c r="Y35" s="19"/>
      <c r="Z35" s="4">
        <f t="shared" si="10"/>
        <v>15136.90293018573</v>
      </c>
      <c r="AA35" s="19">
        <f t="shared" si="11"/>
        <v>20.3</v>
      </c>
      <c r="AB35" s="19">
        <f t="shared" si="12"/>
        <v>1.9</v>
      </c>
      <c r="AC35" s="5">
        <f t="shared" si="13"/>
        <v>1.9</v>
      </c>
      <c r="AD35" s="5">
        <f t="shared" si="14"/>
        <v>1.9</v>
      </c>
      <c r="AE35" s="5">
        <f t="shared" si="15"/>
        <v>1.9</v>
      </c>
      <c r="AF35" s="5">
        <f t="shared" si="16"/>
        <v>1.9</v>
      </c>
      <c r="AG35" s="5">
        <f t="shared" si="17"/>
        <v>1.9</v>
      </c>
      <c r="AH35" s="4">
        <f t="shared" si="18"/>
        <v>313651.7656163786</v>
      </c>
      <c r="AI35" s="27"/>
      <c r="AJ35" s="4">
        <f t="shared" si="19"/>
        <v>10905.77191620535</v>
      </c>
      <c r="AK35" s="4">
        <f t="shared" si="20"/>
        <v>15579.674166007644</v>
      </c>
      <c r="AL35" s="4">
        <f t="shared" si="21"/>
        <v>6539.828875395583</v>
      </c>
      <c r="AM35" s="19">
        <f t="shared" si="22"/>
        <v>22</v>
      </c>
      <c r="AN35" s="19">
        <f t="shared" si="23"/>
        <v>1.9</v>
      </c>
      <c r="AO35" s="5">
        <f t="shared" si="24"/>
        <v>1.9</v>
      </c>
      <c r="AP35" s="5">
        <f t="shared" si="25"/>
        <v>1.9</v>
      </c>
      <c r="AQ35" s="5">
        <f t="shared" si="26"/>
        <v>1.9</v>
      </c>
      <c r="AR35" s="5">
        <f t="shared" si="27"/>
        <v>1.9</v>
      </c>
      <c r="AS35" s="5">
        <f t="shared" si="28"/>
        <v>1.9</v>
      </c>
      <c r="AT35" s="4">
        <f t="shared" si="30"/>
        <v>147407.74285141646</v>
      </c>
      <c r="AU35" s="27">
        <f t="shared" si="31"/>
        <v>21676.731805581312</v>
      </c>
      <c r="AV35" s="27">
        <f t="shared" si="32"/>
        <v>461059.50846779504</v>
      </c>
      <c r="AW35" s="27">
        <f t="shared" si="29"/>
        <v>461059.50846779504</v>
      </c>
      <c r="AX35" s="5">
        <f t="shared" si="33"/>
        <v>20.81288677591656</v>
      </c>
      <c r="AY35" s="27"/>
    </row>
    <row r="36" spans="14:51" s="5" customFormat="1" ht="9.75" customHeight="1">
      <c r="N36" s="6">
        <f t="shared" si="1"/>
        <v>7</v>
      </c>
      <c r="O36" s="6">
        <f t="shared" si="2"/>
        <v>4.619999999999999</v>
      </c>
      <c r="P36" s="6">
        <f t="shared" si="3"/>
        <v>1</v>
      </c>
      <c r="Q36" s="6"/>
      <c r="R36" s="6">
        <f t="shared" si="4"/>
        <v>68082.7438437254</v>
      </c>
      <c r="S36" s="6"/>
      <c r="T36" s="6">
        <f t="shared" si="5"/>
        <v>52270.239088683724</v>
      </c>
      <c r="U36" s="6">
        <f t="shared" si="6"/>
        <v>17414.534330549977</v>
      </c>
      <c r="V36" s="6">
        <f t="shared" si="7"/>
        <v>22989.484264752453</v>
      </c>
      <c r="W36" s="6">
        <f t="shared" si="8"/>
        <v>0</v>
      </c>
      <c r="X36" s="6">
        <f t="shared" si="9"/>
        <v>12433.74308394652</v>
      </c>
      <c r="Y36" s="19"/>
      <c r="Z36" s="4">
        <f t="shared" si="10"/>
        <v>16084.705929045054</v>
      </c>
      <c r="AA36" s="19">
        <f t="shared" si="11"/>
        <v>19.5</v>
      </c>
      <c r="AB36" s="19">
        <f t="shared" si="12"/>
        <v>1.9</v>
      </c>
      <c r="AC36" s="5">
        <f t="shared" si="13"/>
        <v>1.9</v>
      </c>
      <c r="AD36" s="5">
        <f t="shared" si="14"/>
        <v>1.9</v>
      </c>
      <c r="AE36" s="5">
        <f t="shared" si="15"/>
        <v>1.9</v>
      </c>
      <c r="AF36" s="5">
        <f t="shared" si="16"/>
        <v>1.9</v>
      </c>
      <c r="AG36" s="5">
        <f t="shared" si="17"/>
        <v>1.9</v>
      </c>
      <c r="AH36" s="4">
        <f t="shared" si="18"/>
        <v>319522.68328048004</v>
      </c>
      <c r="AI36" s="27"/>
      <c r="AJ36" s="4">
        <f t="shared" si="19"/>
        <v>11232.94507369151</v>
      </c>
      <c r="AK36" s="4">
        <f t="shared" si="20"/>
        <v>16047.06439098787</v>
      </c>
      <c r="AL36" s="4">
        <f t="shared" si="21"/>
        <v>6953.195417519645</v>
      </c>
      <c r="AM36" s="19">
        <f t="shared" si="22"/>
        <v>21.2</v>
      </c>
      <c r="AN36" s="19">
        <f t="shared" si="23"/>
        <v>1.9</v>
      </c>
      <c r="AO36" s="5">
        <f t="shared" si="24"/>
        <v>1.9</v>
      </c>
      <c r="AP36" s="5">
        <f t="shared" si="25"/>
        <v>1.9</v>
      </c>
      <c r="AQ36" s="5">
        <f t="shared" si="26"/>
        <v>1.9</v>
      </c>
      <c r="AR36" s="5">
        <f t="shared" si="27"/>
        <v>1.9</v>
      </c>
      <c r="AS36" s="5">
        <f t="shared" si="28"/>
        <v>1.9</v>
      </c>
      <c r="AT36" s="4">
        <f t="shared" si="30"/>
        <v>150773.08943349597</v>
      </c>
      <c r="AU36" s="27">
        <f t="shared" si="31"/>
        <v>23037.9013465647</v>
      </c>
      <c r="AV36" s="27">
        <f t="shared" si="32"/>
        <v>470295.772713976</v>
      </c>
      <c r="AW36" s="27">
        <f t="shared" si="29"/>
        <v>470295.772713976</v>
      </c>
      <c r="AX36" s="5">
        <f t="shared" si="33"/>
        <v>20.013086328132314</v>
      </c>
      <c r="AY36" s="27"/>
    </row>
    <row r="37" spans="14:51" s="5" customFormat="1" ht="9.75" customHeight="1">
      <c r="N37" s="6">
        <f aca="true" t="shared" si="34" ref="N37:N51">($F$13)</f>
        <v>5</v>
      </c>
      <c r="O37" s="6">
        <f aca="true" t="shared" si="35" ref="O37:O51">($F$13)*(1-$F$14/100)</f>
        <v>3.3</v>
      </c>
      <c r="P37" s="6">
        <f t="shared" si="3"/>
        <v>1</v>
      </c>
      <c r="Q37" s="6"/>
      <c r="R37" s="6">
        <f t="shared" si="4"/>
        <v>70027.91846647044</v>
      </c>
      <c r="S37" s="6"/>
      <c r="T37" s="6">
        <f t="shared" si="5"/>
        <v>53935.653953910965</v>
      </c>
      <c r="U37" s="6">
        <f t="shared" si="6"/>
        <v>17588.67967385548</v>
      </c>
      <c r="V37" s="6">
        <f t="shared" si="7"/>
        <v>23219.379107399967</v>
      </c>
      <c r="W37" s="6">
        <f t="shared" si="8"/>
        <v>0</v>
      </c>
      <c r="X37" s="6">
        <f t="shared" si="9"/>
        <v>12682.417945625453</v>
      </c>
      <c r="Y37" s="19"/>
      <c r="Z37" s="4">
        <f t="shared" si="10"/>
        <v>17086.77450697754</v>
      </c>
      <c r="AA37" s="19">
        <f t="shared" si="11"/>
        <v>18.7</v>
      </c>
      <c r="AB37" s="19">
        <f t="shared" si="12"/>
        <v>1.9</v>
      </c>
      <c r="AC37" s="5">
        <f t="shared" si="13"/>
        <v>1.9</v>
      </c>
      <c r="AD37" s="5">
        <f t="shared" si="14"/>
        <v>1.9</v>
      </c>
      <c r="AE37" s="5">
        <f t="shared" si="15"/>
        <v>1.9</v>
      </c>
      <c r="AF37" s="5">
        <f t="shared" si="16"/>
        <v>1.9</v>
      </c>
      <c r="AG37" s="5">
        <f t="shared" si="17"/>
        <v>1.9</v>
      </c>
      <c r="AH37" s="4">
        <f t="shared" si="18"/>
        <v>318412.04293752654</v>
      </c>
      <c r="AI37" s="27"/>
      <c r="AJ37" s="4">
        <f t="shared" si="19"/>
        <v>11569.933425902254</v>
      </c>
      <c r="AK37" s="4">
        <f t="shared" si="20"/>
        <v>16528.476322717506</v>
      </c>
      <c r="AL37" s="4">
        <f t="shared" si="21"/>
        <v>7427.245784901279</v>
      </c>
      <c r="AM37" s="19">
        <f t="shared" si="22"/>
        <v>20.3</v>
      </c>
      <c r="AN37" s="19">
        <f t="shared" si="23"/>
        <v>1.9</v>
      </c>
      <c r="AO37" s="5">
        <f t="shared" si="24"/>
        <v>1.9</v>
      </c>
      <c r="AP37" s="5">
        <f t="shared" si="25"/>
        <v>1.9</v>
      </c>
      <c r="AQ37" s="5">
        <f t="shared" si="26"/>
        <v>1.9</v>
      </c>
      <c r="AR37" s="5">
        <f t="shared" si="27"/>
        <v>1.9</v>
      </c>
      <c r="AS37" s="5">
        <f t="shared" si="28"/>
        <v>1.9</v>
      </c>
      <c r="AT37" s="4">
        <f t="shared" si="30"/>
        <v>150884.4981202695</v>
      </c>
      <c r="AU37" s="27">
        <f t="shared" si="31"/>
        <v>24514.02029187882</v>
      </c>
      <c r="AV37" s="27">
        <f t="shared" si="32"/>
        <v>469296.54105779604</v>
      </c>
      <c r="AW37" s="27">
        <f t="shared" si="29"/>
        <v>469296.54105779604</v>
      </c>
      <c r="AX37" s="5">
        <f t="shared" si="33"/>
        <v>19.184767211348802</v>
      </c>
      <c r="AY37" s="27"/>
    </row>
    <row r="38" spans="14:51" s="5" customFormat="1" ht="9.75" customHeight="1">
      <c r="N38" s="6">
        <f t="shared" si="34"/>
        <v>5</v>
      </c>
      <c r="O38" s="6">
        <f t="shared" si="35"/>
        <v>3.3</v>
      </c>
      <c r="P38" s="6">
        <f t="shared" si="3"/>
        <v>1</v>
      </c>
      <c r="Q38" s="6"/>
      <c r="R38" s="6">
        <f t="shared" si="4"/>
        <v>71688.94693749835</v>
      </c>
      <c r="S38" s="6"/>
      <c r="T38" s="6">
        <f t="shared" si="5"/>
        <v>55993.532655494506</v>
      </c>
      <c r="U38" s="6">
        <f t="shared" si="6"/>
        <v>17764.566470594036</v>
      </c>
      <c r="V38" s="6">
        <f t="shared" si="7"/>
        <v>23451.572898473976</v>
      </c>
      <c r="W38" s="6">
        <f t="shared" si="8"/>
        <v>0</v>
      </c>
      <c r="X38" s="6">
        <f t="shared" si="9"/>
        <v>12936.06630453796</v>
      </c>
      <c r="Y38" s="19"/>
      <c r="Z38" s="4">
        <f t="shared" si="10"/>
        <v>17788.382287012657</v>
      </c>
      <c r="AA38" s="19">
        <f t="shared" si="11"/>
        <v>17.9</v>
      </c>
      <c r="AB38" s="19">
        <f t="shared" si="12"/>
        <v>1.9</v>
      </c>
      <c r="AC38" s="5">
        <f t="shared" si="13"/>
        <v>1.9</v>
      </c>
      <c r="AD38" s="5">
        <f t="shared" si="14"/>
        <v>1.9</v>
      </c>
      <c r="AE38" s="5">
        <f t="shared" si="15"/>
        <v>1.9</v>
      </c>
      <c r="AF38" s="5">
        <f t="shared" si="16"/>
        <v>1.9</v>
      </c>
      <c r="AG38" s="5">
        <f t="shared" si="17"/>
        <v>1.9</v>
      </c>
      <c r="AH38" s="4">
        <f t="shared" si="18"/>
        <v>316544.2627973902</v>
      </c>
      <c r="AI38" s="27"/>
      <c r="AJ38" s="4">
        <f t="shared" si="19"/>
        <v>11917.031428679322</v>
      </c>
      <c r="AK38" s="4">
        <f t="shared" si="20"/>
        <v>17024.330612399033</v>
      </c>
      <c r="AL38" s="4">
        <f t="shared" si="21"/>
        <v>7737.666570270231</v>
      </c>
      <c r="AM38" s="19">
        <f t="shared" si="22"/>
        <v>19.5</v>
      </c>
      <c r="AN38" s="19">
        <f t="shared" si="23"/>
        <v>1.9</v>
      </c>
      <c r="AO38" s="5">
        <f t="shared" si="24"/>
        <v>1.9</v>
      </c>
      <c r="AP38" s="5">
        <f t="shared" si="25"/>
        <v>1.9</v>
      </c>
      <c r="AQ38" s="5">
        <f t="shared" si="26"/>
        <v>1.9</v>
      </c>
      <c r="AR38" s="5">
        <f t="shared" si="27"/>
        <v>1.9</v>
      </c>
      <c r="AS38" s="5">
        <f t="shared" si="28"/>
        <v>1.9</v>
      </c>
      <c r="AT38" s="4">
        <f t="shared" si="30"/>
        <v>150691.05645601277</v>
      </c>
      <c r="AU38" s="27">
        <f t="shared" si="31"/>
        <v>25526.048857282887</v>
      </c>
      <c r="AV38" s="27">
        <f t="shared" si="32"/>
        <v>467235.319253403</v>
      </c>
      <c r="AW38" s="27">
        <f t="shared" si="29"/>
        <v>467235.319253403</v>
      </c>
      <c r="AX38" s="5">
        <f t="shared" si="33"/>
        <v>18.38500520318091</v>
      </c>
      <c r="AY38" s="27"/>
    </row>
    <row r="39" spans="14:51" s="5" customFormat="1" ht="9.75" customHeight="1">
      <c r="N39" s="6">
        <f t="shared" si="34"/>
        <v>5</v>
      </c>
      <c r="O39" s="6">
        <f t="shared" si="35"/>
        <v>3.3</v>
      </c>
      <c r="P39" s="6">
        <f t="shared" si="3"/>
        <v>1</v>
      </c>
      <c r="Q39" s="6"/>
      <c r="R39" s="6">
        <f t="shared" si="4"/>
        <v>73393.58199243425</v>
      </c>
      <c r="S39" s="6"/>
      <c r="T39" s="6">
        <f t="shared" si="5"/>
        <v>58119.3719883484</v>
      </c>
      <c r="U39" s="6">
        <f t="shared" si="6"/>
        <v>17942.21213529998</v>
      </c>
      <c r="V39" s="6">
        <f t="shared" si="7"/>
        <v>23686.088627458717</v>
      </c>
      <c r="W39" s="6">
        <f t="shared" si="8"/>
        <v>0</v>
      </c>
      <c r="X39" s="6">
        <f t="shared" si="9"/>
        <v>13194.787630628722</v>
      </c>
      <c r="Y39" s="19"/>
      <c r="Z39" s="4">
        <f t="shared" si="10"/>
        <v>18511.3603975082</v>
      </c>
      <c r="AA39" s="19">
        <f t="shared" si="11"/>
        <v>17.1</v>
      </c>
      <c r="AB39" s="19">
        <f t="shared" si="12"/>
        <v>17.1</v>
      </c>
      <c r="AC39" s="5">
        <f t="shared" si="13"/>
        <v>1.9</v>
      </c>
      <c r="AD39" s="5">
        <f t="shared" si="14"/>
        <v>1.9</v>
      </c>
      <c r="AE39" s="5">
        <f t="shared" si="15"/>
        <v>1.9</v>
      </c>
      <c r="AF39" s="5">
        <f t="shared" si="16"/>
        <v>1.9</v>
      </c>
      <c r="AG39" s="5">
        <f t="shared" si="17"/>
        <v>1.9</v>
      </c>
      <c r="AH39" s="4">
        <f t="shared" si="18"/>
        <v>313860.11553975154</v>
      </c>
      <c r="AI39" s="27"/>
      <c r="AJ39" s="4">
        <f t="shared" si="19"/>
        <v>12274.542371539703</v>
      </c>
      <c r="AK39" s="4">
        <f t="shared" si="20"/>
        <v>17535.060530771003</v>
      </c>
      <c r="AL39" s="4">
        <f t="shared" si="21"/>
        <v>8058.345265027421</v>
      </c>
      <c r="AM39" s="19">
        <f t="shared" si="22"/>
        <v>18.7</v>
      </c>
      <c r="AN39" s="19">
        <f t="shared" si="23"/>
        <v>1.9</v>
      </c>
      <c r="AO39" s="5">
        <f t="shared" si="24"/>
        <v>1.9</v>
      </c>
      <c r="AP39" s="5">
        <f t="shared" si="25"/>
        <v>1.9</v>
      </c>
      <c r="AQ39" s="5">
        <f t="shared" si="26"/>
        <v>1.9</v>
      </c>
      <c r="AR39" s="5">
        <f t="shared" si="27"/>
        <v>1.9</v>
      </c>
      <c r="AS39" s="5">
        <f t="shared" si="28"/>
        <v>1.9</v>
      </c>
      <c r="AT39" s="4">
        <f t="shared" si="30"/>
        <v>150167.26401378599</v>
      </c>
      <c r="AU39" s="27">
        <f t="shared" si="31"/>
        <v>26569.70566253562</v>
      </c>
      <c r="AV39" s="27">
        <f t="shared" si="32"/>
        <v>464027.3795535375</v>
      </c>
      <c r="AW39" s="27">
        <f t="shared" si="29"/>
        <v>464027.3795535375</v>
      </c>
      <c r="AX39" s="5">
        <f t="shared" si="33"/>
        <v>17.585265158289804</v>
      </c>
      <c r="AY39" s="27"/>
    </row>
    <row r="40" spans="14:51" s="5" customFormat="1" ht="9.75" customHeight="1">
      <c r="N40" s="6">
        <f t="shared" si="34"/>
        <v>5</v>
      </c>
      <c r="O40" s="6">
        <f t="shared" si="35"/>
        <v>3.3</v>
      </c>
      <c r="P40" s="6">
        <f t="shared" si="3"/>
        <v>1</v>
      </c>
      <c r="Q40" s="6"/>
      <c r="R40" s="6">
        <f t="shared" si="4"/>
        <v>75142.06430394232</v>
      </c>
      <c r="S40" s="6"/>
      <c r="T40" s="6">
        <f t="shared" si="5"/>
        <v>60316.27829626383</v>
      </c>
      <c r="U40" s="6">
        <f t="shared" si="6"/>
        <v>18121.634256652975</v>
      </c>
      <c r="V40" s="6">
        <f t="shared" si="7"/>
        <v>23922.949513733303</v>
      </c>
      <c r="W40" s="6">
        <f t="shared" si="8"/>
        <v>0</v>
      </c>
      <c r="X40" s="6">
        <f t="shared" si="9"/>
        <v>13458.683383241292</v>
      </c>
      <c r="Y40" s="19"/>
      <c r="Z40" s="4">
        <f t="shared" si="10"/>
        <v>19255.221812254695</v>
      </c>
      <c r="AA40" s="19">
        <f t="shared" si="11"/>
        <v>16.3</v>
      </c>
      <c r="AB40" s="19">
        <f t="shared" si="12"/>
        <v>16.3</v>
      </c>
      <c r="AC40" s="5">
        <f t="shared" si="13"/>
        <v>1.9</v>
      </c>
      <c r="AD40" s="5">
        <f t="shared" si="14"/>
        <v>1.9</v>
      </c>
      <c r="AE40" s="5">
        <f t="shared" si="15"/>
        <v>1.9</v>
      </c>
      <c r="AF40" s="5">
        <f t="shared" si="16"/>
        <v>1.9</v>
      </c>
      <c r="AG40" s="5">
        <f t="shared" si="17"/>
        <v>1.9</v>
      </c>
      <c r="AH40" s="4">
        <f t="shared" si="18"/>
        <v>310297.89950448443</v>
      </c>
      <c r="AI40" s="27"/>
      <c r="AJ40" s="4">
        <f t="shared" si="19"/>
        <v>12642.778642685893</v>
      </c>
      <c r="AK40" s="4">
        <f t="shared" si="20"/>
        <v>18061.11234669413</v>
      </c>
      <c r="AL40" s="4">
        <f t="shared" si="21"/>
        <v>8389.23262646849</v>
      </c>
      <c r="AM40" s="19">
        <f t="shared" si="22"/>
        <v>17.9</v>
      </c>
      <c r="AN40" s="19">
        <f t="shared" si="23"/>
        <v>1.9</v>
      </c>
      <c r="AO40" s="5">
        <f t="shared" si="24"/>
        <v>1.9</v>
      </c>
      <c r="AP40" s="5">
        <f t="shared" si="25"/>
        <v>1.9</v>
      </c>
      <c r="AQ40" s="5">
        <f t="shared" si="26"/>
        <v>1.9</v>
      </c>
      <c r="AR40" s="5">
        <f t="shared" si="27"/>
        <v>1.9</v>
      </c>
      <c r="AS40" s="5">
        <f t="shared" si="28"/>
        <v>1.9</v>
      </c>
      <c r="AT40" s="4">
        <f t="shared" si="30"/>
        <v>149286.3945880068</v>
      </c>
      <c r="AU40" s="27">
        <f t="shared" si="31"/>
        <v>27644.454438723187</v>
      </c>
      <c r="AV40" s="27">
        <f t="shared" si="32"/>
        <v>459584.29409249127</v>
      </c>
      <c r="AW40" s="27">
        <f t="shared" si="29"/>
        <v>459584.29409249127</v>
      </c>
      <c r="AX40" s="5">
        <f t="shared" si="33"/>
        <v>16.785550265862636</v>
      </c>
      <c r="AY40" s="27"/>
    </row>
    <row r="41" spans="14:51" s="5" customFormat="1" ht="9.75" customHeight="1">
      <c r="N41" s="6">
        <f t="shared" si="34"/>
        <v>5</v>
      </c>
      <c r="O41" s="6">
        <f t="shared" si="35"/>
        <v>3.3</v>
      </c>
      <c r="P41" s="6">
        <f t="shared" si="3"/>
        <v>1</v>
      </c>
      <c r="Q41" s="6"/>
      <c r="R41" s="6">
        <f t="shared" si="4"/>
        <v>76934.42606179847</v>
      </c>
      <c r="S41" s="6"/>
      <c r="T41" s="6">
        <f t="shared" si="5"/>
        <v>62587.66681641387</v>
      </c>
      <c r="U41" s="6">
        <f t="shared" si="6"/>
        <v>18302.850599219506</v>
      </c>
      <c r="V41" s="6">
        <f t="shared" si="7"/>
        <v>24162.179008870633</v>
      </c>
      <c r="W41" s="6">
        <f t="shared" si="8"/>
        <v>0</v>
      </c>
      <c r="X41" s="6">
        <f t="shared" si="9"/>
        <v>13727.857050906121</v>
      </c>
      <c r="Y41" s="19"/>
      <c r="Z41" s="4">
        <f t="shared" si="10"/>
        <v>20019.219322869965</v>
      </c>
      <c r="AA41" s="19">
        <f t="shared" si="11"/>
        <v>15.5</v>
      </c>
      <c r="AB41" s="19">
        <f t="shared" si="12"/>
        <v>15.5</v>
      </c>
      <c r="AC41" s="5">
        <f t="shared" si="13"/>
        <v>1.9</v>
      </c>
      <c r="AD41" s="5">
        <f t="shared" si="14"/>
        <v>1.9</v>
      </c>
      <c r="AE41" s="5">
        <f t="shared" si="15"/>
        <v>1.9</v>
      </c>
      <c r="AF41" s="5">
        <f t="shared" si="16"/>
        <v>1.9</v>
      </c>
      <c r="AG41" s="5">
        <f t="shared" si="17"/>
        <v>1.9</v>
      </c>
      <c r="AH41" s="4">
        <f t="shared" si="18"/>
        <v>305793.5751568387</v>
      </c>
      <c r="AI41" s="27"/>
      <c r="AJ41" s="4">
        <f t="shared" si="19"/>
        <v>13022.062001966468</v>
      </c>
      <c r="AK41" s="4">
        <f t="shared" si="20"/>
        <v>18602.945717094954</v>
      </c>
      <c r="AL41" s="4">
        <f t="shared" si="21"/>
        <v>8730.198513918525</v>
      </c>
      <c r="AM41" s="19">
        <f t="shared" si="22"/>
        <v>17.1</v>
      </c>
      <c r="AN41" s="19">
        <f t="shared" si="23"/>
        <v>17.1</v>
      </c>
      <c r="AO41" s="5">
        <f t="shared" si="24"/>
        <v>1.9</v>
      </c>
      <c r="AP41" s="5">
        <f t="shared" si="25"/>
        <v>1.9</v>
      </c>
      <c r="AQ41" s="5">
        <f t="shared" si="26"/>
        <v>1.9</v>
      </c>
      <c r="AR41" s="5">
        <f t="shared" si="27"/>
        <v>1.9</v>
      </c>
      <c r="AS41" s="5">
        <f t="shared" si="28"/>
        <v>1.9</v>
      </c>
      <c r="AT41" s="4">
        <f t="shared" si="30"/>
        <v>148020.5158034886</v>
      </c>
      <c r="AU41" s="27">
        <f t="shared" si="31"/>
        <v>28749.41783678849</v>
      </c>
      <c r="AV41" s="27">
        <f t="shared" si="32"/>
        <v>453814.0909603273</v>
      </c>
      <c r="AW41" s="27">
        <f t="shared" si="29"/>
        <v>453814.0909603273</v>
      </c>
      <c r="AX41" s="5">
        <f t="shared" si="33"/>
        <v>15.985864364334901</v>
      </c>
      <c r="AY41" s="27"/>
    </row>
    <row r="42" spans="14:51" s="5" customFormat="1" ht="9.75" customHeight="1">
      <c r="N42" s="6">
        <f t="shared" si="34"/>
        <v>5</v>
      </c>
      <c r="O42" s="6">
        <f t="shared" si="35"/>
        <v>3.3</v>
      </c>
      <c r="P42" s="6">
        <f t="shared" si="3"/>
        <v>0</v>
      </c>
      <c r="Q42" s="6"/>
      <c r="R42" s="6">
        <f t="shared" si="4"/>
        <v>78677.67160264711</v>
      </c>
      <c r="S42" s="6"/>
      <c r="T42" s="6">
        <f t="shared" si="5"/>
        <v>65030.08406191159</v>
      </c>
      <c r="U42" s="6">
        <f t="shared" si="6"/>
        <v>18485.879105211698</v>
      </c>
      <c r="V42" s="6">
        <f t="shared" si="7"/>
        <v>24403.800798959343</v>
      </c>
      <c r="W42" s="6">
        <f t="shared" si="8"/>
        <v>0</v>
      </c>
      <c r="X42" s="6">
        <f t="shared" si="9"/>
        <v>14002.414191924245</v>
      </c>
      <c r="Y42" s="19"/>
      <c r="Z42" s="4">
        <f t="shared" si="10"/>
        <v>20661.728051137747</v>
      </c>
      <c r="AA42" s="19">
        <f t="shared" si="11"/>
        <v>14.8</v>
      </c>
      <c r="AB42" s="19">
        <f t="shared" si="12"/>
        <v>14.8</v>
      </c>
      <c r="AC42" s="5">
        <f t="shared" si="13"/>
        <v>1.9</v>
      </c>
      <c r="AD42" s="5">
        <f t="shared" si="14"/>
        <v>1.9</v>
      </c>
      <c r="AE42" s="5">
        <f t="shared" si="15"/>
        <v>1.9</v>
      </c>
      <c r="AF42" s="5">
        <f t="shared" si="16"/>
        <v>1.9</v>
      </c>
      <c r="AG42" s="5">
        <f t="shared" si="17"/>
        <v>1.9</v>
      </c>
      <c r="AH42" s="4">
        <f t="shared" si="18"/>
        <v>203681.8595476722</v>
      </c>
      <c r="AI42" s="27"/>
      <c r="AJ42" s="4">
        <f t="shared" si="19"/>
        <v>13412.723862025463</v>
      </c>
      <c r="AK42" s="4">
        <f t="shared" si="20"/>
        <v>19161.034088607805</v>
      </c>
      <c r="AL42" s="4">
        <f t="shared" si="21"/>
        <v>9081.013239477828</v>
      </c>
      <c r="AM42" s="19">
        <f t="shared" si="22"/>
        <v>16.3</v>
      </c>
      <c r="AN42" s="19">
        <f t="shared" si="23"/>
        <v>16.3</v>
      </c>
      <c r="AO42" s="5">
        <f t="shared" si="24"/>
        <v>1.9</v>
      </c>
      <c r="AP42" s="5">
        <f t="shared" si="25"/>
        <v>1.9</v>
      </c>
      <c r="AQ42" s="5">
        <f t="shared" si="26"/>
        <v>1.9</v>
      </c>
      <c r="AR42" s="5">
        <f t="shared" si="27"/>
        <v>1.9</v>
      </c>
      <c r="AS42" s="5">
        <f t="shared" si="28"/>
        <v>1.9</v>
      </c>
      <c r="AT42" s="4">
        <f t="shared" si="30"/>
        <v>146340.52835418523</v>
      </c>
      <c r="AU42" s="27">
        <f t="shared" si="31"/>
        <v>29742.741290615573</v>
      </c>
      <c r="AV42" s="27">
        <f t="shared" si="32"/>
        <v>350022.38790185744</v>
      </c>
      <c r="AW42" s="27">
        <f t="shared" si="29"/>
        <v>253282.7215859868</v>
      </c>
      <c r="AX42" s="5">
        <f t="shared" si="33"/>
        <v>15.257977955902629</v>
      </c>
      <c r="AY42" s="27"/>
    </row>
    <row r="43" spans="14:51" s="5" customFormat="1" ht="9.75" customHeight="1">
      <c r="N43" s="6">
        <f t="shared" si="34"/>
        <v>5</v>
      </c>
      <c r="O43" s="6">
        <f t="shared" si="35"/>
        <v>3.3</v>
      </c>
      <c r="P43" s="6">
        <f t="shared" si="3"/>
        <v>0</v>
      </c>
      <c r="Q43" s="6"/>
      <c r="R43" s="6">
        <f t="shared" si="4"/>
        <v>75925.64511299512</v>
      </c>
      <c r="S43" s="6"/>
      <c r="T43" s="6">
        <f t="shared" si="5"/>
        <v>72093.34322150034</v>
      </c>
      <c r="U43" s="6">
        <f t="shared" si="6"/>
        <v>18670.73789626382</v>
      </c>
      <c r="V43" s="6">
        <f t="shared" si="7"/>
        <v>24647.83880694893</v>
      </c>
      <c r="W43" s="6">
        <f t="shared" si="8"/>
        <v>0</v>
      </c>
      <c r="X43" s="6">
        <f t="shared" si="9"/>
        <v>14282.462475762728</v>
      </c>
      <c r="Y43" s="19"/>
      <c r="Z43" s="4">
        <f t="shared" si="10"/>
        <v>14445.521953735619</v>
      </c>
      <c r="AA43" s="19">
        <f t="shared" si="11"/>
        <v>14.1</v>
      </c>
      <c r="AB43" s="19">
        <f t="shared" si="12"/>
        <v>14.1</v>
      </c>
      <c r="AC43" s="5">
        <f t="shared" si="13"/>
        <v>1.9</v>
      </c>
      <c r="AD43" s="5">
        <f t="shared" si="14"/>
        <v>1.9</v>
      </c>
      <c r="AE43" s="5">
        <f t="shared" si="15"/>
        <v>1.9</v>
      </c>
      <c r="AF43" s="5">
        <f t="shared" si="16"/>
        <v>1.9</v>
      </c>
      <c r="AG43" s="5">
        <f t="shared" si="17"/>
        <v>1.9</v>
      </c>
      <c r="AH43" s="4">
        <f t="shared" si="18"/>
        <v>90188.09235692573</v>
      </c>
      <c r="AI43" s="27"/>
      <c r="AJ43" s="4">
        <f t="shared" si="19"/>
        <v>13815.105577886228</v>
      </c>
      <c r="AK43" s="4">
        <f t="shared" si="20"/>
        <v>19735.86511126604</v>
      </c>
      <c r="AL43" s="4">
        <f t="shared" si="21"/>
        <v>9441.324409947434</v>
      </c>
      <c r="AM43" s="19">
        <f t="shared" si="22"/>
        <v>15.5</v>
      </c>
      <c r="AN43" s="19">
        <f t="shared" si="23"/>
        <v>15.5</v>
      </c>
      <c r="AO43" s="5">
        <f t="shared" si="24"/>
        <v>1.9</v>
      </c>
      <c r="AP43" s="5">
        <f t="shared" si="25"/>
        <v>1.9</v>
      </c>
      <c r="AQ43" s="5">
        <f t="shared" si="26"/>
        <v>1.9</v>
      </c>
      <c r="AR43" s="5">
        <f t="shared" si="27"/>
        <v>1.9</v>
      </c>
      <c r="AS43" s="5">
        <f t="shared" si="28"/>
        <v>1.9</v>
      </c>
      <c r="AT43" s="4">
        <f t="shared" si="30"/>
        <v>144216.23036194706</v>
      </c>
      <c r="AU43" s="27">
        <f t="shared" si="31"/>
        <v>23886.846363683053</v>
      </c>
      <c r="AV43" s="27">
        <f t="shared" si="32"/>
        <v>234404.3227188728</v>
      </c>
      <c r="AW43" s="27">
        <f t="shared" si="29"/>
        <v>125171.98450447833</v>
      </c>
      <c r="AX43" s="5">
        <f t="shared" si="33"/>
        <v>14.65335283581103</v>
      </c>
      <c r="AY43" s="27"/>
    </row>
    <row r="44" spans="1:51" s="5" customFormat="1" ht="9.75" customHeight="1">
      <c r="A44" s="34"/>
      <c r="B44" s="35"/>
      <c r="C44" s="35"/>
      <c r="D44" s="35"/>
      <c r="E44" s="35"/>
      <c r="F44" s="35" t="s">
        <v>46</v>
      </c>
      <c r="G44" s="35"/>
      <c r="H44" s="36" t="s">
        <v>32</v>
      </c>
      <c r="I44" s="36" t="s">
        <v>5</v>
      </c>
      <c r="J44" s="36" t="s">
        <v>6</v>
      </c>
      <c r="K44" s="36" t="s">
        <v>4</v>
      </c>
      <c r="L44" s="35"/>
      <c r="M44" s="35" t="s">
        <v>4</v>
      </c>
      <c r="N44" s="6">
        <f t="shared" si="34"/>
        <v>5</v>
      </c>
      <c r="O44" s="6">
        <f t="shared" si="35"/>
        <v>3.3</v>
      </c>
      <c r="P44" s="6">
        <f t="shared" si="3"/>
        <v>0</v>
      </c>
      <c r="Q44" s="6"/>
      <c r="R44" s="6">
        <f t="shared" si="4"/>
        <v>72172.43124179376</v>
      </c>
      <c r="S44" s="6"/>
      <c r="T44" s="6">
        <f t="shared" si="5"/>
        <v>80287.12674273655</v>
      </c>
      <c r="U44" s="6">
        <f t="shared" si="6"/>
        <v>18857.445275226455</v>
      </c>
      <c r="V44" s="6">
        <f t="shared" si="7"/>
        <v>24894.317195018426</v>
      </c>
      <c r="W44" s="6">
        <f t="shared" si="8"/>
        <v>0</v>
      </c>
      <c r="X44" s="6">
        <f t="shared" si="9"/>
        <v>14568.11172527798</v>
      </c>
      <c r="Y44" s="19"/>
      <c r="Z44" s="4">
        <f t="shared" si="10"/>
        <v>6730.45465350192</v>
      </c>
      <c r="AA44" s="19">
        <f t="shared" si="11"/>
        <v>13.4</v>
      </c>
      <c r="AB44" s="19">
        <f t="shared" si="12"/>
        <v>13.4</v>
      </c>
      <c r="AC44" s="5">
        <f t="shared" si="13"/>
        <v>1.9</v>
      </c>
      <c r="AD44" s="5">
        <f t="shared" si="14"/>
        <v>1.9</v>
      </c>
      <c r="AE44" s="5">
        <f t="shared" si="15"/>
        <v>1.9</v>
      </c>
      <c r="AF44" s="5">
        <f t="shared" si="16"/>
        <v>1.9</v>
      </c>
      <c r="AG44" s="5">
        <f t="shared" si="17"/>
        <v>1.9</v>
      </c>
      <c r="AH44" s="4">
        <f t="shared" si="18"/>
        <v>0</v>
      </c>
      <c r="AI44" s="27"/>
      <c r="AJ44" s="4">
        <f t="shared" si="19"/>
        <v>14229.558745222812</v>
      </c>
      <c r="AK44" s="4">
        <f t="shared" si="20"/>
        <v>20327.94106460402</v>
      </c>
      <c r="AL44" s="4">
        <f t="shared" si="21"/>
        <v>9744.339889320747</v>
      </c>
      <c r="AM44" s="19">
        <f t="shared" si="22"/>
        <v>14.8</v>
      </c>
      <c r="AN44" s="19">
        <f t="shared" si="23"/>
        <v>14.8</v>
      </c>
      <c r="AO44" s="5">
        <f t="shared" si="24"/>
        <v>1.9</v>
      </c>
      <c r="AP44" s="5">
        <f t="shared" si="25"/>
        <v>1.9</v>
      </c>
      <c r="AQ44" s="5">
        <f t="shared" si="26"/>
        <v>1.9</v>
      </c>
      <c r="AR44" s="5">
        <f t="shared" si="27"/>
        <v>1.9</v>
      </c>
      <c r="AS44" s="5">
        <f t="shared" si="28"/>
        <v>1.9</v>
      </c>
      <c r="AT44" s="4">
        <f t="shared" si="30"/>
        <v>141682.70199072367</v>
      </c>
      <c r="AU44" s="27">
        <f t="shared" si="31"/>
        <v>16474.794542822667</v>
      </c>
      <c r="AV44" s="27">
        <f t="shared" si="32"/>
        <v>141682.70199072367</v>
      </c>
      <c r="AW44" s="27">
        <f t="shared" si="29"/>
        <v>20035.54025930463</v>
      </c>
      <c r="AX44" s="5">
        <f t="shared" si="33"/>
        <v>14.22805741884</v>
      </c>
      <c r="AY44" s="27"/>
    </row>
    <row r="45" spans="1:51" s="5" customFormat="1" ht="9.75" customHeight="1">
      <c r="A45" s="37"/>
      <c r="B45" s="38" t="s">
        <v>48</v>
      </c>
      <c r="C45" s="39"/>
      <c r="D45" s="39"/>
      <c r="E45" s="39"/>
      <c r="F45" s="39" t="s">
        <v>47</v>
      </c>
      <c r="G45" s="38" t="s">
        <v>52</v>
      </c>
      <c r="H45" s="38" t="s">
        <v>33</v>
      </c>
      <c r="I45" s="38" t="s">
        <v>7</v>
      </c>
      <c r="J45" s="38" t="s">
        <v>7</v>
      </c>
      <c r="K45" s="38" t="s">
        <v>7</v>
      </c>
      <c r="L45" s="38" t="s">
        <v>8</v>
      </c>
      <c r="M45" s="38" t="s">
        <v>49</v>
      </c>
      <c r="N45" s="6">
        <f t="shared" si="34"/>
        <v>5</v>
      </c>
      <c r="O45" s="6">
        <f t="shared" si="35"/>
        <v>3.3</v>
      </c>
      <c r="P45" s="6">
        <f t="shared" si="3"/>
        <v>0</v>
      </c>
      <c r="Q45" s="6"/>
      <c r="R45" s="6">
        <f t="shared" si="4"/>
        <v>59289.06949678109</v>
      </c>
      <c r="S45" s="6"/>
      <c r="T45" s="6">
        <f t="shared" si="5"/>
        <v>97744.27522728514</v>
      </c>
      <c r="U45" s="6">
        <f t="shared" si="6"/>
        <v>19046.019727978724</v>
      </c>
      <c r="V45" s="6">
        <f t="shared" si="7"/>
        <v>25143.260366968607</v>
      </c>
      <c r="W45" s="6">
        <f t="shared" si="8"/>
        <v>0</v>
      </c>
      <c r="X45" s="6">
        <f t="shared" si="9"/>
        <v>0</v>
      </c>
      <c r="Y45" s="19"/>
      <c r="Z45" s="4">
        <f t="shared" si="10"/>
        <v>0</v>
      </c>
      <c r="AA45" s="19">
        <f t="shared" si="11"/>
        <v>12.7</v>
      </c>
      <c r="AB45" s="19">
        <f t="shared" si="12"/>
        <v>12.7</v>
      </c>
      <c r="AC45" s="5">
        <f t="shared" si="13"/>
        <v>12.7</v>
      </c>
      <c r="AD45" s="5">
        <f t="shared" si="14"/>
        <v>1.9</v>
      </c>
      <c r="AE45" s="5">
        <f t="shared" si="15"/>
        <v>1.9</v>
      </c>
      <c r="AF45" s="5">
        <f t="shared" si="16"/>
        <v>1.9</v>
      </c>
      <c r="AG45" s="5">
        <f t="shared" si="17"/>
        <v>1.9</v>
      </c>
      <c r="AH45" s="4">
        <f t="shared" si="18"/>
        <v>0</v>
      </c>
      <c r="AI45" s="27"/>
      <c r="AJ45" s="4">
        <f t="shared" si="19"/>
        <v>14656.445507579498</v>
      </c>
      <c r="AK45" s="4">
        <f t="shared" si="20"/>
        <v>20937.77929654214</v>
      </c>
      <c r="AL45" s="4">
        <f t="shared" si="21"/>
        <v>10048.418580902387</v>
      </c>
      <c r="AM45" s="19">
        <f t="shared" si="22"/>
        <v>14.1</v>
      </c>
      <c r="AN45" s="19">
        <f t="shared" si="23"/>
        <v>14.1</v>
      </c>
      <c r="AO45" s="5">
        <f t="shared" si="24"/>
        <v>1.9</v>
      </c>
      <c r="AP45" s="5">
        <f t="shared" si="25"/>
        <v>1.9</v>
      </c>
      <c r="AQ45" s="5">
        <f t="shared" si="26"/>
        <v>1.9</v>
      </c>
      <c r="AR45" s="5">
        <f t="shared" si="27"/>
        <v>1.9</v>
      </c>
      <c r="AS45" s="5">
        <f t="shared" si="28"/>
        <v>1.9</v>
      </c>
      <c r="AT45" s="4">
        <f t="shared" si="30"/>
        <v>138718.41850935746</v>
      </c>
      <c r="AU45" s="27">
        <f t="shared" si="31"/>
        <v>10048.418580902387</v>
      </c>
      <c r="AV45" s="27">
        <f t="shared" si="32"/>
        <v>138718.41850935746</v>
      </c>
      <c r="AW45" s="27">
        <f t="shared" si="29"/>
        <v>35364.12538065687</v>
      </c>
      <c r="AX45" s="5">
        <f t="shared" si="33"/>
        <v>14.1</v>
      </c>
      <c r="AY45" s="27"/>
    </row>
    <row r="46" spans="1:51" s="5" customFormat="1" ht="9.75" customHeight="1">
      <c r="A46" s="37"/>
      <c r="B46" s="38" t="s">
        <v>9</v>
      </c>
      <c r="C46" s="38" t="s">
        <v>50</v>
      </c>
      <c r="D46" s="38" t="s">
        <v>4</v>
      </c>
      <c r="E46" s="38" t="s">
        <v>51</v>
      </c>
      <c r="F46" s="38" t="s">
        <v>73</v>
      </c>
      <c r="G46" s="38" t="s">
        <v>53</v>
      </c>
      <c r="H46" s="38" t="s">
        <v>61</v>
      </c>
      <c r="I46" s="38" t="s">
        <v>9</v>
      </c>
      <c r="J46" s="38" t="s">
        <v>9</v>
      </c>
      <c r="K46" s="38" t="s">
        <v>9</v>
      </c>
      <c r="L46" s="38" t="s">
        <v>10</v>
      </c>
      <c r="M46" s="38" t="s">
        <v>11</v>
      </c>
      <c r="N46" s="6">
        <f t="shared" si="34"/>
        <v>5</v>
      </c>
      <c r="O46" s="6">
        <f t="shared" si="35"/>
        <v>3.3</v>
      </c>
      <c r="P46" s="6">
        <f t="shared" si="3"/>
        <v>0</v>
      </c>
      <c r="Q46" s="6"/>
      <c r="R46" s="6">
        <f t="shared" si="4"/>
        <v>53653.52813313378</v>
      </c>
      <c r="S46" s="6"/>
      <c r="T46" s="6">
        <f t="shared" si="5"/>
        <v>108090.81693265444</v>
      </c>
      <c r="U46" s="6">
        <f t="shared" si="6"/>
        <v>19236.479925258514</v>
      </c>
      <c r="V46" s="6">
        <f t="shared" si="7"/>
        <v>25394.692970638298</v>
      </c>
      <c r="W46" s="6">
        <f t="shared" si="8"/>
        <v>0</v>
      </c>
      <c r="X46" s="6">
        <f t="shared" si="9"/>
        <v>0</v>
      </c>
      <c r="Y46" s="19"/>
      <c r="Z46" s="4">
        <f t="shared" si="10"/>
        <v>0</v>
      </c>
      <c r="AA46" s="19">
        <f t="shared" si="11"/>
        <v>12</v>
      </c>
      <c r="AB46" s="19">
        <f t="shared" si="12"/>
        <v>12</v>
      </c>
      <c r="AC46" s="5">
        <f t="shared" si="13"/>
        <v>12</v>
      </c>
      <c r="AD46" s="5">
        <f t="shared" si="14"/>
        <v>1.9</v>
      </c>
      <c r="AE46" s="5">
        <f t="shared" si="15"/>
        <v>1.9</v>
      </c>
      <c r="AF46" s="5">
        <f t="shared" si="16"/>
        <v>1.9</v>
      </c>
      <c r="AG46" s="5">
        <f t="shared" si="17"/>
        <v>1.9</v>
      </c>
      <c r="AH46" s="4">
        <f t="shared" si="18"/>
        <v>0</v>
      </c>
      <c r="AI46" s="27"/>
      <c r="AJ46" s="4">
        <f t="shared" si="19"/>
        <v>15096.138872806883</v>
      </c>
      <c r="AK46" s="4">
        <f t="shared" si="20"/>
        <v>21565.912675438405</v>
      </c>
      <c r="AL46" s="4">
        <f t="shared" si="21"/>
        <v>10352.120784280407</v>
      </c>
      <c r="AM46" s="19">
        <f t="shared" si="22"/>
        <v>13.4</v>
      </c>
      <c r="AN46" s="19">
        <f t="shared" si="23"/>
        <v>13.4</v>
      </c>
      <c r="AO46" s="5">
        <f t="shared" si="24"/>
        <v>1.9</v>
      </c>
      <c r="AP46" s="5">
        <f t="shared" si="25"/>
        <v>1.9</v>
      </c>
      <c r="AQ46" s="5">
        <f t="shared" si="26"/>
        <v>1.9</v>
      </c>
      <c r="AR46" s="5">
        <f t="shared" si="27"/>
        <v>1.9</v>
      </c>
      <c r="AS46" s="5">
        <f t="shared" si="28"/>
        <v>1.9</v>
      </c>
      <c r="AT46" s="4">
        <f t="shared" si="30"/>
        <v>135302.21865054494</v>
      </c>
      <c r="AU46" s="27">
        <f t="shared" si="31"/>
        <v>10352.120784280407</v>
      </c>
      <c r="AV46" s="27">
        <f t="shared" si="32"/>
        <v>135302.21865054494</v>
      </c>
      <c r="AW46" s="27">
        <f t="shared" si="29"/>
        <v>135302.21865054494</v>
      </c>
      <c r="AX46" s="5">
        <f t="shared" si="33"/>
        <v>13.4</v>
      </c>
      <c r="AY46" s="27"/>
    </row>
    <row r="47" spans="1:51" s="5" customFormat="1" ht="9.75" customHeight="1">
      <c r="A47" s="40" t="s">
        <v>13</v>
      </c>
      <c r="B47" s="41" t="s">
        <v>49</v>
      </c>
      <c r="C47" s="41" t="s">
        <v>49</v>
      </c>
      <c r="D47" s="41" t="s">
        <v>49</v>
      </c>
      <c r="E47" s="41" t="s">
        <v>17</v>
      </c>
      <c r="F47" s="41" t="s">
        <v>49</v>
      </c>
      <c r="G47" s="41" t="s">
        <v>54</v>
      </c>
      <c r="H47" s="41" t="s">
        <v>31</v>
      </c>
      <c r="I47" s="41" t="s">
        <v>14</v>
      </c>
      <c r="J47" s="41" t="s">
        <v>14</v>
      </c>
      <c r="K47" s="41" t="s">
        <v>14</v>
      </c>
      <c r="L47" s="41" t="s">
        <v>15</v>
      </c>
      <c r="M47" s="41" t="s">
        <v>16</v>
      </c>
      <c r="N47" s="6">
        <f t="shared" si="34"/>
        <v>5</v>
      </c>
      <c r="O47" s="6">
        <f t="shared" si="35"/>
        <v>3.3</v>
      </c>
      <c r="P47" s="6">
        <f t="shared" si="3"/>
        <v>0</v>
      </c>
      <c r="Q47" s="6"/>
      <c r="R47" s="6">
        <f t="shared" si="4"/>
        <v>54674.00249490196</v>
      </c>
      <c r="S47" s="6"/>
      <c r="T47" s="6">
        <f t="shared" si="5"/>
        <v>111922.67292285991</v>
      </c>
      <c r="U47" s="6">
        <f t="shared" si="6"/>
        <v>19428.8447245111</v>
      </c>
      <c r="V47" s="6">
        <f t="shared" si="7"/>
        <v>25648.639900344686</v>
      </c>
      <c r="W47" s="6">
        <f t="shared" si="8"/>
        <v>0</v>
      </c>
      <c r="X47" s="6">
        <f t="shared" si="9"/>
        <v>0</v>
      </c>
      <c r="Y47" s="19"/>
      <c r="Z47" s="4">
        <f t="shared" si="10"/>
        <v>0</v>
      </c>
      <c r="AA47" s="19">
        <f t="shared" si="11"/>
        <v>11.4</v>
      </c>
      <c r="AB47" s="19">
        <f t="shared" si="12"/>
        <v>11.4</v>
      </c>
      <c r="AC47" s="5">
        <f t="shared" si="13"/>
        <v>11.4</v>
      </c>
      <c r="AD47" s="5">
        <f t="shared" si="14"/>
        <v>1.9</v>
      </c>
      <c r="AE47" s="5">
        <f t="shared" si="15"/>
        <v>1.9</v>
      </c>
      <c r="AF47" s="5">
        <f t="shared" si="16"/>
        <v>1.9</v>
      </c>
      <c r="AG47" s="5">
        <f t="shared" si="17"/>
        <v>1.9</v>
      </c>
      <c r="AH47" s="4">
        <f t="shared" si="18"/>
        <v>0</v>
      </c>
      <c r="AI47" s="27"/>
      <c r="AJ47" s="4">
        <f t="shared" si="19"/>
        <v>15549.023038991088</v>
      </c>
      <c r="AK47" s="4">
        <f t="shared" si="20"/>
        <v>22212.890055701555</v>
      </c>
      <c r="AL47" s="4">
        <f t="shared" si="21"/>
        <v>10653.718003979917</v>
      </c>
      <c r="AM47" s="19">
        <f t="shared" si="22"/>
        <v>12.7</v>
      </c>
      <c r="AN47" s="19">
        <f t="shared" si="23"/>
        <v>12.7</v>
      </c>
      <c r="AO47" s="5">
        <f t="shared" si="24"/>
        <v>12.7</v>
      </c>
      <c r="AP47" s="5">
        <f t="shared" si="25"/>
        <v>1.9</v>
      </c>
      <c r="AQ47" s="5">
        <f t="shared" si="26"/>
        <v>1.9</v>
      </c>
      <c r="AR47" s="5">
        <f t="shared" si="27"/>
        <v>1.9</v>
      </c>
      <c r="AS47" s="5">
        <f t="shared" si="28"/>
        <v>1.9</v>
      </c>
      <c r="AT47" s="4">
        <f t="shared" si="30"/>
        <v>131413.61157909228</v>
      </c>
      <c r="AU47" s="27">
        <f t="shared" si="31"/>
        <v>10653.718003979917</v>
      </c>
      <c r="AV47" s="27">
        <f t="shared" si="32"/>
        <v>131413.61157909228</v>
      </c>
      <c r="AW47" s="27">
        <f t="shared" si="29"/>
        <v>131413.61157909228</v>
      </c>
      <c r="AX47" s="5">
        <f t="shared" si="33"/>
        <v>12.7</v>
      </c>
      <c r="AY47" s="27"/>
    </row>
    <row r="48" spans="1:51" s="5" customFormat="1" ht="9.75" customHeight="1">
      <c r="A48" s="42"/>
      <c r="B48" s="43"/>
      <c r="C48" s="43"/>
      <c r="D48" s="43"/>
      <c r="E48" s="43"/>
      <c r="F48" s="43"/>
      <c r="G48" s="43"/>
      <c r="H48" s="42"/>
      <c r="I48" s="44"/>
      <c r="J48" s="45"/>
      <c r="K48" s="42"/>
      <c r="L48" s="44"/>
      <c r="M48" s="42"/>
      <c r="N48" s="6">
        <f t="shared" si="34"/>
        <v>5</v>
      </c>
      <c r="O48" s="6">
        <f t="shared" si="35"/>
        <v>3.3</v>
      </c>
      <c r="P48" s="6">
        <f t="shared" si="3"/>
        <v>0</v>
      </c>
      <c r="Q48" s="6"/>
      <c r="R48" s="6">
        <f t="shared" si="4"/>
        <v>55719.19977270091</v>
      </c>
      <c r="S48" s="6"/>
      <c r="T48" s="6">
        <f t="shared" si="5"/>
        <v>115875.37590759384</v>
      </c>
      <c r="U48" s="6">
        <f t="shared" si="6"/>
        <v>19623.133171756203</v>
      </c>
      <c r="V48" s="6">
        <f t="shared" si="7"/>
        <v>25905.126299348132</v>
      </c>
      <c r="W48" s="6">
        <f t="shared" si="8"/>
        <v>0</v>
      </c>
      <c r="X48" s="6">
        <f t="shared" si="9"/>
        <v>0</v>
      </c>
      <c r="Y48" s="19"/>
      <c r="Z48" s="4">
        <f t="shared" si="10"/>
        <v>0</v>
      </c>
      <c r="AA48" s="19">
        <f t="shared" si="11"/>
        <v>10.8</v>
      </c>
      <c r="AB48" s="19">
        <f t="shared" si="12"/>
        <v>10.8</v>
      </c>
      <c r="AC48" s="5">
        <f t="shared" si="13"/>
        <v>10.8</v>
      </c>
      <c r="AD48" s="5">
        <f t="shared" si="14"/>
        <v>1.9</v>
      </c>
      <c r="AE48" s="5">
        <f t="shared" si="15"/>
        <v>1.9</v>
      </c>
      <c r="AF48" s="5">
        <f t="shared" si="16"/>
        <v>1.9</v>
      </c>
      <c r="AG48" s="5">
        <f t="shared" si="17"/>
        <v>1.9</v>
      </c>
      <c r="AH48" s="4">
        <f t="shared" si="18"/>
        <v>0</v>
      </c>
      <c r="AI48" s="27"/>
      <c r="AJ48" s="4">
        <f t="shared" si="19"/>
        <v>16015.49373016082</v>
      </c>
      <c r="AK48" s="4">
        <f t="shared" si="20"/>
        <v>22879.2767573726</v>
      </c>
      <c r="AL48" s="4">
        <f t="shared" si="21"/>
        <v>10951.13429825769</v>
      </c>
      <c r="AM48" s="19">
        <f t="shared" si="22"/>
        <v>12</v>
      </c>
      <c r="AN48" s="19">
        <f t="shared" si="23"/>
        <v>12</v>
      </c>
      <c r="AO48" s="5">
        <f t="shared" si="24"/>
        <v>12</v>
      </c>
      <c r="AP48" s="5">
        <f t="shared" si="25"/>
        <v>1.9</v>
      </c>
      <c r="AQ48" s="5">
        <f t="shared" si="26"/>
        <v>1.9</v>
      </c>
      <c r="AR48" s="5">
        <f t="shared" si="27"/>
        <v>1.9</v>
      </c>
      <c r="AS48" s="5">
        <f t="shared" si="28"/>
        <v>1.9</v>
      </c>
      <c r="AT48" s="4">
        <f t="shared" si="30"/>
        <v>127033.15785978922</v>
      </c>
      <c r="AU48" s="27">
        <f t="shared" si="31"/>
        <v>10951.13429825769</v>
      </c>
      <c r="AV48" s="27">
        <f t="shared" si="32"/>
        <v>127033.15785978922</v>
      </c>
      <c r="AW48" s="27">
        <f t="shared" si="29"/>
        <v>127033.15785978922</v>
      </c>
      <c r="AX48" s="5">
        <f t="shared" si="33"/>
        <v>12</v>
      </c>
      <c r="AY48" s="27"/>
    </row>
    <row r="49" spans="1:51" s="5" customFormat="1" ht="15" customHeight="1">
      <c r="A49" s="46">
        <f>0</f>
        <v>0</v>
      </c>
      <c r="B49" s="47">
        <f>(AH21+AT21)</f>
        <v>250000</v>
      </c>
      <c r="C49" s="48">
        <f>($F$8)</f>
        <v>600000</v>
      </c>
      <c r="D49" s="49">
        <f>(B49+C49)</f>
        <v>850000</v>
      </c>
      <c r="E49" s="49"/>
      <c r="F49" s="49"/>
      <c r="G49" s="49"/>
      <c r="H49" s="49"/>
      <c r="I49" s="49"/>
      <c r="J49" s="47"/>
      <c r="K49" s="49"/>
      <c r="L49" s="49"/>
      <c r="M49" s="49">
        <f aca="true" t="shared" si="36" ref="M49:M79">(D49/(1+$F$11/100)^A49)</f>
        <v>850000</v>
      </c>
      <c r="N49" s="6">
        <f t="shared" si="34"/>
        <v>5</v>
      </c>
      <c r="O49" s="6">
        <f t="shared" si="35"/>
        <v>3.3</v>
      </c>
      <c r="P49" s="6">
        <f t="shared" si="3"/>
        <v>0</v>
      </c>
      <c r="Q49" s="6"/>
      <c r="R49" s="6">
        <f t="shared" si="4"/>
        <v>56789.80274086335</v>
      </c>
      <c r="S49" s="6"/>
      <c r="T49" s="6">
        <f t="shared" si="5"/>
        <v>119952.61020984023</v>
      </c>
      <c r="U49" s="6">
        <f t="shared" si="6"/>
        <v>19819.364503473767</v>
      </c>
      <c r="V49" s="6">
        <f t="shared" si="7"/>
        <v>26164.177562341603</v>
      </c>
      <c r="W49" s="6">
        <f t="shared" si="8"/>
        <v>0</v>
      </c>
      <c r="X49" s="6">
        <f t="shared" si="9"/>
        <v>0</v>
      </c>
      <c r="Y49" s="19"/>
      <c r="Z49" s="4">
        <f t="shared" si="10"/>
        <v>0</v>
      </c>
      <c r="AA49" s="19">
        <f t="shared" si="11"/>
        <v>10.2</v>
      </c>
      <c r="AB49" s="19">
        <f t="shared" si="12"/>
        <v>10.2</v>
      </c>
      <c r="AC49" s="5">
        <f t="shared" si="13"/>
        <v>10.2</v>
      </c>
      <c r="AD49" s="5">
        <f t="shared" si="14"/>
        <v>1.9</v>
      </c>
      <c r="AE49" s="5">
        <f t="shared" si="15"/>
        <v>1.9</v>
      </c>
      <c r="AF49" s="5">
        <f t="shared" si="16"/>
        <v>1.9</v>
      </c>
      <c r="AG49" s="5">
        <f t="shared" si="17"/>
        <v>1.9</v>
      </c>
      <c r="AH49" s="4">
        <f t="shared" si="18"/>
        <v>0</v>
      </c>
      <c r="AI49" s="27"/>
      <c r="AJ49" s="4">
        <f t="shared" si="19"/>
        <v>16495.958542065644</v>
      </c>
      <c r="AK49" s="4">
        <f t="shared" si="20"/>
        <v>23565.655060093777</v>
      </c>
      <c r="AL49" s="4">
        <f t="shared" si="21"/>
        <v>11143.25946138502</v>
      </c>
      <c r="AM49" s="19">
        <f t="shared" si="22"/>
        <v>11.4</v>
      </c>
      <c r="AN49" s="19">
        <f t="shared" si="23"/>
        <v>11.4</v>
      </c>
      <c r="AO49" s="5">
        <f t="shared" si="24"/>
        <v>11.4</v>
      </c>
      <c r="AP49" s="5">
        <f t="shared" si="25"/>
        <v>1.9</v>
      </c>
      <c r="AQ49" s="5">
        <f t="shared" si="26"/>
        <v>1.9</v>
      </c>
      <c r="AR49" s="5">
        <f t="shared" si="27"/>
        <v>1.9</v>
      </c>
      <c r="AS49" s="5">
        <f t="shared" si="28"/>
        <v>1.9</v>
      </c>
      <c r="AT49" s="4">
        <f t="shared" si="30"/>
        <v>122241.55629139367</v>
      </c>
      <c r="AU49" s="27">
        <f t="shared" si="31"/>
        <v>11143.25946138502</v>
      </c>
      <c r="AV49" s="27">
        <f t="shared" si="32"/>
        <v>122241.55629139367</v>
      </c>
      <c r="AW49" s="27">
        <f t="shared" si="29"/>
        <v>122241.55629139367</v>
      </c>
      <c r="AX49" s="5">
        <f t="shared" si="33"/>
        <v>11.4</v>
      </c>
      <c r="AY49" s="27"/>
    </row>
    <row r="50" spans="1:51" s="5" customFormat="1" ht="15" customHeight="1">
      <c r="A50" s="37">
        <f>1</f>
        <v>1</v>
      </c>
      <c r="B50" s="47">
        <f aca="true" t="shared" si="37" ref="B50:B79">IF((B49*(1+N22/100)-K50)&gt;0,(B49*(1+N22/100)-K50),0)</f>
        <v>267500</v>
      </c>
      <c r="C50" s="49">
        <f aca="true" t="shared" si="38" ref="C50:C79">(C49*(1+O22/100)-L50)</f>
        <v>583254.798</v>
      </c>
      <c r="D50" s="49">
        <f aca="true" t="shared" si="39" ref="D50:D79">(B50+C50)</f>
        <v>850754.798</v>
      </c>
      <c r="E50" s="49">
        <f>($F$10*(1+$F$11/100)^($F$15-$M$7))</f>
        <v>79567.5</v>
      </c>
      <c r="F50" s="49">
        <f aca="true" t="shared" si="40" ref="F50:F79">IF(L50&gt;=0,((E50-L50)/(1-$F$14/100))+L50,E50/(1-$F$14/100))</f>
        <v>97650.50200000001</v>
      </c>
      <c r="G50" s="49">
        <f aca="true" t="shared" si="41" ref="G50:G79">(AK22+AJ22)</f>
        <v>18035.3</v>
      </c>
      <c r="H50" s="49">
        <f aca="true" t="shared" si="42" ref="H50:H79">(U22+V22+W22+X22)</f>
        <v>35150</v>
      </c>
      <c r="I50" s="47">
        <f aca="true" t="shared" si="43" ref="I50:I79">IF(((Z22+AL22)&lt;=B49*(1+N22/100)),(Z22+AL22),B49*(1+N22/100))</f>
        <v>0</v>
      </c>
      <c r="J50" s="49">
        <f aca="true" t="shared" si="44" ref="J50:J79">IF((E50-L50-R22)&gt;0,IF((B49*(1+N22/100)*(1-$F$14/100)-I50*(1-$F$14/100))&lt;=(E50-L50-R22),B49*(1+N22/100)-I50,(E50-L50-R22)/(1-$F$14/100)),0)</f>
        <v>0</v>
      </c>
      <c r="K50" s="49">
        <f>(I50+J50)</f>
        <v>0</v>
      </c>
      <c r="L50" s="49">
        <f aca="true" t="shared" si="45" ref="L50:L79">IF(P22&gt;0,T22,(C49*(1+O22/100)))</f>
        <v>44465.202000000005</v>
      </c>
      <c r="M50" s="49">
        <f t="shared" si="36"/>
        <v>825975.5320388349</v>
      </c>
      <c r="N50" s="6">
        <f t="shared" si="34"/>
        <v>5</v>
      </c>
      <c r="O50" s="6">
        <f t="shared" si="35"/>
        <v>3.3</v>
      </c>
      <c r="P50" s="6">
        <f t="shared" si="3"/>
        <v>0</v>
      </c>
      <c r="Q50" s="6"/>
      <c r="R50" s="6">
        <f t="shared" si="4"/>
        <v>57886.5140678205</v>
      </c>
      <c r="S50" s="6"/>
      <c r="T50" s="6">
        <f t="shared" si="5"/>
        <v>124158.1712714042</v>
      </c>
      <c r="U50" s="6">
        <f t="shared" si="6"/>
        <v>20017.558148508506</v>
      </c>
      <c r="V50" s="6">
        <f t="shared" si="7"/>
        <v>26425.819337965022</v>
      </c>
      <c r="W50" s="6">
        <f t="shared" si="8"/>
        <v>0</v>
      </c>
      <c r="X50" s="6">
        <f t="shared" si="9"/>
        <v>0</v>
      </c>
      <c r="Y50" s="19"/>
      <c r="Z50" s="4">
        <f t="shared" si="10"/>
        <v>0</v>
      </c>
      <c r="AA50" s="19">
        <f t="shared" si="11"/>
        <v>9.6</v>
      </c>
      <c r="AB50" s="19">
        <f t="shared" si="12"/>
        <v>9.6</v>
      </c>
      <c r="AC50" s="5">
        <f t="shared" si="13"/>
        <v>9.6</v>
      </c>
      <c r="AD50" s="5">
        <f t="shared" si="14"/>
        <v>1.9</v>
      </c>
      <c r="AE50" s="5">
        <f t="shared" si="15"/>
        <v>1.9</v>
      </c>
      <c r="AF50" s="5">
        <f t="shared" si="16"/>
        <v>1.9</v>
      </c>
      <c r="AG50" s="5">
        <f t="shared" si="17"/>
        <v>1.9</v>
      </c>
      <c r="AH50" s="4">
        <f t="shared" si="18"/>
        <v>0</v>
      </c>
      <c r="AI50" s="27"/>
      <c r="AJ50" s="4">
        <f t="shared" si="19"/>
        <v>16990.837298327613</v>
      </c>
      <c r="AK50" s="4">
        <f t="shared" si="20"/>
        <v>24272.62471189659</v>
      </c>
      <c r="AL50" s="4">
        <f t="shared" si="21"/>
        <v>11318.662619573488</v>
      </c>
      <c r="AM50" s="19">
        <f t="shared" si="22"/>
        <v>10.8</v>
      </c>
      <c r="AN50" s="19">
        <f t="shared" si="23"/>
        <v>10.8</v>
      </c>
      <c r="AO50" s="5">
        <f t="shared" si="24"/>
        <v>10.8</v>
      </c>
      <c r="AP50" s="5">
        <f t="shared" si="25"/>
        <v>1.9</v>
      </c>
      <c r="AQ50" s="5">
        <f t="shared" si="26"/>
        <v>1.9</v>
      </c>
      <c r="AR50" s="5">
        <f t="shared" si="27"/>
        <v>1.9</v>
      </c>
      <c r="AS50" s="5">
        <f t="shared" si="28"/>
        <v>1.9</v>
      </c>
      <c r="AT50" s="4">
        <f t="shared" si="30"/>
        <v>117034.97148638987</v>
      </c>
      <c r="AU50" s="27">
        <f t="shared" si="31"/>
        <v>11318.662619573488</v>
      </c>
      <c r="AV50" s="27">
        <f t="shared" si="32"/>
        <v>117034.97148638987</v>
      </c>
      <c r="AW50" s="27">
        <f t="shared" si="29"/>
        <v>117034.97148638987</v>
      </c>
      <c r="AX50" s="5">
        <f t="shared" si="33"/>
        <v>10.8</v>
      </c>
      <c r="AY50" s="27"/>
    </row>
    <row r="51" spans="1:51" s="5" customFormat="1" ht="15" customHeight="1">
      <c r="A51" s="37">
        <f>2</f>
        <v>2</v>
      </c>
      <c r="B51" s="47">
        <f t="shared" si="37"/>
        <v>286225</v>
      </c>
      <c r="C51" s="49">
        <f t="shared" si="38"/>
        <v>563938.0316075999</v>
      </c>
      <c r="D51" s="49">
        <f t="shared" si="39"/>
        <v>850163.0316075999</v>
      </c>
      <c r="E51" s="49">
        <f aca="true" t="shared" si="46" ref="E51:E79">(E50*(1+$F$11/100))</f>
        <v>81954.52500000001</v>
      </c>
      <c r="F51" s="49">
        <f t="shared" si="40"/>
        <v>100340.99706000002</v>
      </c>
      <c r="G51" s="49">
        <f t="shared" si="41"/>
        <v>18576.359</v>
      </c>
      <c r="H51" s="49">
        <f t="shared" si="42"/>
        <v>35501.5</v>
      </c>
      <c r="I51" s="47">
        <f t="shared" si="43"/>
        <v>0</v>
      </c>
      <c r="J51" s="49">
        <f t="shared" si="44"/>
        <v>0</v>
      </c>
      <c r="K51" s="49">
        <f aca="true" t="shared" si="47" ref="K51:K79">(I51+J51)</f>
        <v>0</v>
      </c>
      <c r="L51" s="49">
        <f t="shared" si="45"/>
        <v>46263.13806000001</v>
      </c>
      <c r="M51" s="49">
        <f t="shared" si="36"/>
        <v>801360.1956900745</v>
      </c>
      <c r="N51" s="6">
        <f t="shared" si="34"/>
        <v>5</v>
      </c>
      <c r="O51" s="6">
        <f t="shared" si="35"/>
        <v>3.3</v>
      </c>
      <c r="P51" s="6">
        <f t="shared" si="3"/>
        <v>0</v>
      </c>
      <c r="Q51" s="6"/>
      <c r="R51" s="6">
        <f t="shared" si="4"/>
        <v>59010.056907033664</v>
      </c>
      <c r="S51" s="6"/>
      <c r="T51" s="6">
        <f t="shared" si="5"/>
        <v>128495.9689923678</v>
      </c>
      <c r="U51" s="6">
        <f t="shared" si="6"/>
        <v>20217.733729993593</v>
      </c>
      <c r="V51" s="6">
        <f t="shared" si="7"/>
        <v>26690.077531344672</v>
      </c>
      <c r="W51" s="6">
        <f t="shared" si="8"/>
        <v>0</v>
      </c>
      <c r="X51" s="6">
        <f t="shared" si="9"/>
        <v>0</v>
      </c>
      <c r="Y51" s="19"/>
      <c r="Z51" s="4">
        <f t="shared" si="10"/>
        <v>0</v>
      </c>
      <c r="AA51" s="19">
        <f t="shared" si="11"/>
        <v>9.1</v>
      </c>
      <c r="AB51" s="19">
        <f t="shared" si="12"/>
        <v>9.1</v>
      </c>
      <c r="AC51" s="5">
        <f t="shared" si="13"/>
        <v>9.1</v>
      </c>
      <c r="AD51" s="5">
        <f t="shared" si="14"/>
        <v>9.1</v>
      </c>
      <c r="AE51" s="5">
        <f t="shared" si="15"/>
        <v>1.9</v>
      </c>
      <c r="AF51" s="5">
        <f t="shared" si="16"/>
        <v>1.9</v>
      </c>
      <c r="AG51" s="5">
        <f t="shared" si="17"/>
        <v>1.9</v>
      </c>
      <c r="AH51" s="4">
        <f t="shared" si="18"/>
        <v>0</v>
      </c>
      <c r="AI51" s="27"/>
      <c r="AJ51" s="4">
        <f t="shared" si="19"/>
        <v>17500.562417277444</v>
      </c>
      <c r="AK51" s="4">
        <f t="shared" si="20"/>
        <v>25000.80345325349</v>
      </c>
      <c r="AL51" s="4">
        <f t="shared" si="21"/>
        <v>11474.016812391164</v>
      </c>
      <c r="AM51" s="19">
        <f t="shared" si="22"/>
        <v>10.2</v>
      </c>
      <c r="AN51" s="19">
        <f t="shared" si="23"/>
        <v>10.2</v>
      </c>
      <c r="AO51" s="5">
        <f t="shared" si="24"/>
        <v>10.2</v>
      </c>
      <c r="AP51" s="5">
        <f t="shared" si="25"/>
        <v>1.9</v>
      </c>
      <c r="AQ51" s="5">
        <f t="shared" si="26"/>
        <v>1.9</v>
      </c>
      <c r="AR51" s="5">
        <f t="shared" si="27"/>
        <v>1.9</v>
      </c>
      <c r="AS51" s="5">
        <f t="shared" si="28"/>
        <v>1.9</v>
      </c>
      <c r="AT51" s="4">
        <f t="shared" si="30"/>
        <v>111412.7032483182</v>
      </c>
      <c r="AU51" s="27">
        <f t="shared" si="31"/>
        <v>11474.016812391164</v>
      </c>
      <c r="AV51" s="27">
        <f t="shared" si="32"/>
        <v>111412.7032483182</v>
      </c>
      <c r="AW51" s="27">
        <f t="shared" si="29"/>
        <v>111412.7032483182</v>
      </c>
      <c r="AX51" s="5">
        <f t="shared" si="33"/>
        <v>10.2</v>
      </c>
      <c r="AY51" s="27"/>
    </row>
    <row r="52" spans="1:34" s="31" customFormat="1" ht="15" customHeight="1">
      <c r="A52" s="37">
        <f>3</f>
        <v>3</v>
      </c>
      <c r="B52" s="47">
        <f t="shared" si="37"/>
        <v>306260.75</v>
      </c>
      <c r="C52" s="49">
        <f t="shared" si="38"/>
        <v>541872.3166660711</v>
      </c>
      <c r="D52" s="49">
        <f t="shared" si="39"/>
        <v>848133.0666660711</v>
      </c>
      <c r="E52" s="49">
        <f t="shared" si="46"/>
        <v>84413.16075000001</v>
      </c>
      <c r="F52" s="49">
        <f t="shared" si="40"/>
        <v>103109.81677180002</v>
      </c>
      <c r="G52" s="49">
        <f t="shared" si="41"/>
        <v>19133.649769999996</v>
      </c>
      <c r="H52" s="49">
        <f t="shared" si="42"/>
        <v>35856.515</v>
      </c>
      <c r="I52" s="47">
        <f t="shared" si="43"/>
        <v>0</v>
      </c>
      <c r="J52" s="49">
        <f t="shared" si="44"/>
        <v>0</v>
      </c>
      <c r="K52" s="49">
        <f t="shared" si="47"/>
        <v>0</v>
      </c>
      <c r="L52" s="49">
        <f t="shared" si="45"/>
        <v>48119.652001800016</v>
      </c>
      <c r="M52" s="49">
        <f t="shared" si="36"/>
        <v>776161.9019810722</v>
      </c>
      <c r="V52" s="32"/>
      <c r="AH52" s="30"/>
    </row>
    <row r="53" spans="1:13" ht="15" customHeight="1">
      <c r="A53" s="37">
        <f>4</f>
        <v>4</v>
      </c>
      <c r="B53" s="47">
        <f t="shared" si="37"/>
        <v>327699.0025</v>
      </c>
      <c r="C53" s="49">
        <f t="shared" si="38"/>
        <v>523470.2701361895</v>
      </c>
      <c r="D53" s="49">
        <f t="shared" si="39"/>
        <v>851169.2726361895</v>
      </c>
      <c r="E53" s="49">
        <f t="shared" si="46"/>
        <v>86945.55557250002</v>
      </c>
      <c r="F53" s="49">
        <f t="shared" si="40"/>
        <v>109359.28697295403</v>
      </c>
      <c r="G53" s="49">
        <f t="shared" si="41"/>
        <v>19707.6592631</v>
      </c>
      <c r="H53" s="49">
        <f t="shared" si="42"/>
        <v>46215.080149999994</v>
      </c>
      <c r="I53" s="47">
        <f t="shared" si="43"/>
        <v>0</v>
      </c>
      <c r="J53" s="49">
        <f t="shared" si="44"/>
        <v>0</v>
      </c>
      <c r="K53" s="49">
        <f t="shared" si="47"/>
        <v>0</v>
      </c>
      <c r="L53" s="49">
        <f t="shared" si="45"/>
        <v>43436.54755985403</v>
      </c>
      <c r="M53" s="49">
        <f t="shared" si="36"/>
        <v>756252.8743210722</v>
      </c>
    </row>
    <row r="54" spans="1:13" ht="15" customHeight="1">
      <c r="A54" s="37">
        <f>5</f>
        <v>5</v>
      </c>
      <c r="B54" s="47">
        <f t="shared" si="37"/>
        <v>350637.93267500005</v>
      </c>
      <c r="C54" s="49">
        <f t="shared" si="38"/>
        <v>502370.9135718518</v>
      </c>
      <c r="D54" s="49">
        <f t="shared" si="39"/>
        <v>853008.8462468518</v>
      </c>
      <c r="E54" s="49">
        <f t="shared" si="46"/>
        <v>89553.92223967501</v>
      </c>
      <c r="F54" s="49">
        <f t="shared" si="40"/>
        <v>112359.80303712263</v>
      </c>
      <c r="G54" s="49">
        <f t="shared" si="41"/>
        <v>20298.889040993</v>
      </c>
      <c r="H54" s="49">
        <f t="shared" si="42"/>
        <v>46777.2309515</v>
      </c>
      <c r="I54" s="47">
        <f t="shared" si="43"/>
        <v>0</v>
      </c>
      <c r="J54" s="49">
        <f t="shared" si="44"/>
        <v>0</v>
      </c>
      <c r="K54" s="49">
        <f t="shared" si="47"/>
        <v>0</v>
      </c>
      <c r="L54" s="49">
        <f t="shared" si="45"/>
        <v>45283.68304462964</v>
      </c>
      <c r="M54" s="49">
        <f t="shared" si="36"/>
        <v>735812.9239299352</v>
      </c>
    </row>
    <row r="55" spans="1:13" ht="15" customHeight="1">
      <c r="A55" s="37">
        <f>6</f>
        <v>6</v>
      </c>
      <c r="B55" s="47">
        <f t="shared" si="37"/>
        <v>366224.6845727427</v>
      </c>
      <c r="C55" s="49">
        <f t="shared" si="38"/>
        <v>489580.33303141786</v>
      </c>
      <c r="D55" s="49">
        <f t="shared" si="39"/>
        <v>855805.0176041606</v>
      </c>
      <c r="E55" s="49">
        <f t="shared" si="46"/>
        <v>92240.53990686526</v>
      </c>
      <c r="F55" s="49">
        <f t="shared" si="40"/>
        <v>121212.8791101986</v>
      </c>
      <c r="G55" s="49">
        <f t="shared" si="41"/>
        <v>20907.85571222279</v>
      </c>
      <c r="H55" s="49">
        <f t="shared" si="42"/>
        <v>55347.003261015</v>
      </c>
      <c r="I55" s="47">
        <f t="shared" si="43"/>
        <v>8957.903389507303</v>
      </c>
      <c r="J55" s="49">
        <f t="shared" si="44"/>
        <v>0</v>
      </c>
      <c r="K55" s="49">
        <f t="shared" si="47"/>
        <v>8957.903389507303</v>
      </c>
      <c r="L55" s="49">
        <f t="shared" si="45"/>
        <v>36000.1167474535</v>
      </c>
      <c r="M55" s="49">
        <f t="shared" si="36"/>
        <v>716723.2290343622</v>
      </c>
    </row>
    <row r="56" spans="1:13" ht="15" customHeight="1">
      <c r="A56" s="37">
        <f>7</f>
        <v>7</v>
      </c>
      <c r="B56" s="47">
        <f t="shared" si="37"/>
        <v>382287.9631273982</v>
      </c>
      <c r="C56" s="49">
        <f t="shared" si="38"/>
        <v>474632.3439815479</v>
      </c>
      <c r="D56" s="49">
        <f t="shared" si="39"/>
        <v>856920.3071089461</v>
      </c>
      <c r="E56" s="49">
        <f t="shared" si="46"/>
        <v>95007.75610407122</v>
      </c>
      <c r="F56" s="49">
        <f t="shared" si="40"/>
        <v>124598.65447857261</v>
      </c>
      <c r="G56" s="49">
        <f t="shared" si="41"/>
        <v>21535.09138358947</v>
      </c>
      <c r="H56" s="49">
        <f t="shared" si="42"/>
        <v>55924.513293625154</v>
      </c>
      <c r="I56" s="47">
        <f t="shared" si="43"/>
        <v>9572.44936543652</v>
      </c>
      <c r="J56" s="49">
        <f t="shared" si="44"/>
        <v>0</v>
      </c>
      <c r="K56" s="49">
        <f t="shared" si="47"/>
        <v>9572.44936543652</v>
      </c>
      <c r="L56" s="49">
        <f t="shared" si="45"/>
        <v>37566.60043592147</v>
      </c>
      <c r="M56" s="49">
        <f t="shared" si="36"/>
        <v>696754.6276080238</v>
      </c>
    </row>
    <row r="57" spans="1:13" ht="15" customHeight="1">
      <c r="A57" s="37">
        <f>8</f>
        <v>8</v>
      </c>
      <c r="B57" s="47">
        <f t="shared" si="37"/>
        <v>394424.04765288817</v>
      </c>
      <c r="C57" s="49">
        <f t="shared" si="38"/>
        <v>460290.3330080592</v>
      </c>
      <c r="D57" s="49">
        <f t="shared" si="39"/>
        <v>854714.3806609474</v>
      </c>
      <c r="E57" s="49">
        <f t="shared" si="46"/>
        <v>97857.98878719336</v>
      </c>
      <c r="F57" s="49">
        <f t="shared" si="40"/>
        <v>129585.12151052279</v>
      </c>
      <c r="G57" s="49">
        <f t="shared" si="41"/>
        <v>22181.144125097155</v>
      </c>
      <c r="H57" s="49">
        <f t="shared" si="42"/>
        <v>56509.8792265614</v>
      </c>
      <c r="I57" s="47">
        <f t="shared" si="43"/>
        <v>14624.072893427983</v>
      </c>
      <c r="J57" s="49">
        <f t="shared" si="44"/>
        <v>0</v>
      </c>
      <c r="K57" s="49">
        <f t="shared" si="47"/>
        <v>14624.072893427983</v>
      </c>
      <c r="L57" s="49">
        <f t="shared" si="45"/>
        <v>36270.02526543625</v>
      </c>
      <c r="M57" s="49">
        <f t="shared" si="36"/>
        <v>674719.4247946683</v>
      </c>
    </row>
    <row r="58" spans="1:13" ht="15" customHeight="1">
      <c r="A58" s="37">
        <f>9</f>
        <v>9</v>
      </c>
      <c r="B58" s="47">
        <f t="shared" si="37"/>
        <v>406407.43227102887</v>
      </c>
      <c r="C58" s="49">
        <f t="shared" si="38"/>
        <v>443842.2428870398</v>
      </c>
      <c r="D58" s="49">
        <f t="shared" si="39"/>
        <v>850249.6751580687</v>
      </c>
      <c r="E58" s="49">
        <f t="shared" si="46"/>
        <v>100793.72845080917</v>
      </c>
      <c r="F58" s="49">
        <f t="shared" si="40"/>
        <v>133289.6019072303</v>
      </c>
      <c r="G58" s="49">
        <f t="shared" si="41"/>
        <v>22846.578448850072</v>
      </c>
      <c r="H58" s="49">
        <f t="shared" si="42"/>
        <v>57103.221234827026</v>
      </c>
      <c r="I58" s="47">
        <f t="shared" si="43"/>
        <v>15626.298717561487</v>
      </c>
      <c r="J58" s="49">
        <f t="shared" si="44"/>
        <v>0</v>
      </c>
      <c r="K58" s="49">
        <f t="shared" si="47"/>
        <v>15626.298717561487</v>
      </c>
      <c r="L58" s="49">
        <f t="shared" si="45"/>
        <v>37713.50350599172</v>
      </c>
      <c r="M58" s="49">
        <f t="shared" si="36"/>
        <v>651645.5777108773</v>
      </c>
    </row>
    <row r="59" spans="1:13" ht="15" customHeight="1">
      <c r="A59" s="37">
        <f>10</f>
        <v>10</v>
      </c>
      <c r="B59" s="47">
        <f t="shared" si="37"/>
        <v>418159.59246953565</v>
      </c>
      <c r="C59" s="49">
        <f t="shared" si="38"/>
        <v>425165.9924816698</v>
      </c>
      <c r="D59" s="49">
        <f t="shared" si="39"/>
        <v>843325.5849512054</v>
      </c>
      <c r="E59" s="49">
        <f t="shared" si="46"/>
        <v>103817.54030433345</v>
      </c>
      <c r="F59" s="49">
        <f t="shared" si="40"/>
        <v>137114.75941702735</v>
      </c>
      <c r="G59" s="49">
        <f t="shared" si="41"/>
        <v>23531.975802315574</v>
      </c>
      <c r="H59" s="49">
        <f t="shared" si="42"/>
        <v>57704.66152749529</v>
      </c>
      <c r="I59" s="47">
        <f t="shared" si="43"/>
        <v>16696.360060465264</v>
      </c>
      <c r="J59" s="49">
        <f t="shared" si="44"/>
        <v>0</v>
      </c>
      <c r="K59" s="49">
        <f t="shared" si="47"/>
        <v>16696.360060465264</v>
      </c>
      <c r="L59" s="49">
        <f t="shared" si="45"/>
        <v>39181.76202675122</v>
      </c>
      <c r="M59" s="49">
        <f t="shared" si="36"/>
        <v>627513.4360389132</v>
      </c>
    </row>
    <row r="60" spans="1:13" ht="15" customHeight="1">
      <c r="A60" s="37">
        <f>11</f>
        <v>11</v>
      </c>
      <c r="B60" s="47">
        <f t="shared" si="37"/>
        <v>429592.04437707504</v>
      </c>
      <c r="C60" s="49">
        <f t="shared" si="38"/>
        <v>398854.64097829</v>
      </c>
      <c r="D60" s="49">
        <f t="shared" si="39"/>
        <v>828446.685355365</v>
      </c>
      <c r="E60" s="49">
        <f t="shared" si="46"/>
        <v>106932.06651346346</v>
      </c>
      <c r="F60" s="49">
        <f t="shared" si="40"/>
        <v>138344.9993824428</v>
      </c>
      <c r="G60" s="49">
        <f t="shared" si="41"/>
        <v>24237.935076385038</v>
      </c>
      <c r="H60" s="49">
        <f t="shared" si="42"/>
        <v>50314.324384696636</v>
      </c>
      <c r="I60" s="47">
        <f t="shared" si="43"/>
        <v>17838.719565328145</v>
      </c>
      <c r="J60" s="49">
        <f t="shared" si="44"/>
        <v>0</v>
      </c>
      <c r="K60" s="49">
        <f t="shared" si="47"/>
        <v>17838.719565328145</v>
      </c>
      <c r="L60" s="49">
        <f t="shared" si="45"/>
        <v>45954.02035603298</v>
      </c>
      <c r="M60" s="49">
        <f t="shared" si="36"/>
        <v>598487.512028436</v>
      </c>
    </row>
    <row r="61" spans="1:13" ht="15" customHeight="1">
      <c r="A61" s="37">
        <f>12</f>
        <v>12</v>
      </c>
      <c r="B61" s="47">
        <f t="shared" si="37"/>
        <v>440605.37691185327</v>
      </c>
      <c r="C61" s="49">
        <f t="shared" si="38"/>
        <v>369812.34001371707</v>
      </c>
      <c r="D61" s="49">
        <f t="shared" si="39"/>
        <v>810417.7169255703</v>
      </c>
      <c r="E61" s="49">
        <f t="shared" si="46"/>
        <v>110140.02850886737</v>
      </c>
      <c r="F61" s="49">
        <f t="shared" si="40"/>
        <v>142424.9052733721</v>
      </c>
      <c r="G61" s="49">
        <f t="shared" si="41"/>
        <v>24965.073128676588</v>
      </c>
      <c r="H61" s="49">
        <f t="shared" si="42"/>
        <v>50932.33619530853</v>
      </c>
      <c r="I61" s="47">
        <f t="shared" si="43"/>
        <v>19058.110571617013</v>
      </c>
      <c r="J61" s="49">
        <f t="shared" si="44"/>
        <v>0</v>
      </c>
      <c r="K61" s="49">
        <f t="shared" si="47"/>
        <v>19058.110571617013</v>
      </c>
      <c r="L61" s="49">
        <f t="shared" si="45"/>
        <v>47469.38537776997</v>
      </c>
      <c r="M61" s="49">
        <f t="shared" si="36"/>
        <v>568410.6812035193</v>
      </c>
    </row>
    <row r="62" spans="1:13" ht="15" customHeight="1">
      <c r="A62" s="37">
        <f>13</f>
        <v>13</v>
      </c>
      <c r="B62" s="47">
        <f t="shared" si="37"/>
        <v>451155.36474147293</v>
      </c>
      <c r="C62" s="49">
        <f t="shared" si="38"/>
        <v>337846.4987438092</v>
      </c>
      <c r="D62" s="49">
        <f t="shared" si="39"/>
        <v>789001.863485282</v>
      </c>
      <c r="E62" s="49">
        <f t="shared" si="46"/>
        <v>113444.2293641334</v>
      </c>
      <c r="F62" s="49">
        <f t="shared" si="40"/>
        <v>146616.4107506504</v>
      </c>
      <c r="G62" s="49">
        <f t="shared" si="41"/>
        <v>25714.025322536887</v>
      </c>
      <c r="H62" s="49">
        <f t="shared" si="42"/>
        <v>51558.825495361845</v>
      </c>
      <c r="I62" s="47">
        <f t="shared" si="43"/>
        <v>20292.388554210054</v>
      </c>
      <c r="J62" s="49">
        <f t="shared" si="44"/>
        <v>0</v>
      </c>
      <c r="K62" s="49">
        <f t="shared" si="47"/>
        <v>20292.388554210054</v>
      </c>
      <c r="L62" s="49">
        <f t="shared" si="45"/>
        <v>49051.171378541614</v>
      </c>
      <c r="M62" s="49">
        <f t="shared" si="36"/>
        <v>537271.8761974173</v>
      </c>
    </row>
    <row r="63" spans="1:13" ht="15" customHeight="1">
      <c r="A63" s="37">
        <f>14</f>
        <v>14</v>
      </c>
      <c r="B63" s="47">
        <f t="shared" si="37"/>
        <v>461059.50846779475</v>
      </c>
      <c r="C63" s="49">
        <f t="shared" si="38"/>
        <v>302842.47733139724</v>
      </c>
      <c r="D63" s="49">
        <f t="shared" si="39"/>
        <v>763901.985799192</v>
      </c>
      <c r="E63" s="49">
        <f t="shared" si="46"/>
        <v>116847.5562450574</v>
      </c>
      <c r="F63" s="49">
        <f t="shared" si="40"/>
        <v>150968.6305493479</v>
      </c>
      <c r="G63" s="49">
        <f t="shared" si="41"/>
        <v>26485.446082212995</v>
      </c>
      <c r="H63" s="49">
        <f t="shared" si="42"/>
        <v>52193.9230071777</v>
      </c>
      <c r="I63" s="47">
        <f t="shared" si="43"/>
        <v>21676.731805581312</v>
      </c>
      <c r="J63" s="49">
        <f t="shared" si="44"/>
        <v>0</v>
      </c>
      <c r="K63" s="49">
        <f t="shared" si="47"/>
        <v>21676.731805581312</v>
      </c>
      <c r="L63" s="49">
        <f t="shared" si="45"/>
        <v>50612.5296543759</v>
      </c>
      <c r="M63" s="49">
        <f t="shared" si="36"/>
        <v>505029.2047120478</v>
      </c>
    </row>
    <row r="64" spans="1:13" ht="15" customHeight="1">
      <c r="A64" s="37">
        <f>15</f>
        <v>15</v>
      </c>
      <c r="B64" s="47">
        <f t="shared" si="37"/>
        <v>470295.7727139757</v>
      </c>
      <c r="C64" s="49">
        <f t="shared" si="38"/>
        <v>264563.56069542404</v>
      </c>
      <c r="D64" s="49">
        <f t="shared" si="39"/>
        <v>734859.3334093997</v>
      </c>
      <c r="E64" s="49">
        <f t="shared" si="46"/>
        <v>120352.98293240913</v>
      </c>
      <c r="F64" s="49">
        <f t="shared" si="40"/>
        <v>155425.91157917678</v>
      </c>
      <c r="G64" s="49">
        <f t="shared" si="41"/>
        <v>27280.00946467938</v>
      </c>
      <c r="H64" s="49">
        <f t="shared" si="42"/>
        <v>52837.76167924896</v>
      </c>
      <c r="I64" s="47">
        <f t="shared" si="43"/>
        <v>23037.9013465647</v>
      </c>
      <c r="J64" s="49">
        <f t="shared" si="44"/>
        <v>0</v>
      </c>
      <c r="K64" s="49">
        <f t="shared" si="47"/>
        <v>23037.9013465647</v>
      </c>
      <c r="L64" s="49">
        <f t="shared" si="45"/>
        <v>52270.239088683724</v>
      </c>
      <c r="M64" s="49">
        <f t="shared" si="36"/>
        <v>471678.24280481116</v>
      </c>
    </row>
    <row r="65" spans="1:13" ht="15" customHeight="1">
      <c r="A65" s="37">
        <f>16</f>
        <v>16</v>
      </c>
      <c r="B65" s="47">
        <f t="shared" si="37"/>
        <v>469296.54105779564</v>
      </c>
      <c r="C65" s="49">
        <f t="shared" si="38"/>
        <v>219358.504244462</v>
      </c>
      <c r="D65" s="49">
        <f t="shared" si="39"/>
        <v>688655.0453022576</v>
      </c>
      <c r="E65" s="49">
        <f t="shared" si="46"/>
        <v>123963.5724203814</v>
      </c>
      <c r="F65" s="49">
        <f t="shared" si="40"/>
        <v>160038.5607212904</v>
      </c>
      <c r="G65" s="49">
        <f t="shared" si="41"/>
        <v>28098.40974861976</v>
      </c>
      <c r="H65" s="49">
        <f t="shared" si="42"/>
        <v>53490.476726880894</v>
      </c>
      <c r="I65" s="47">
        <f t="shared" si="43"/>
        <v>24514.02029187882</v>
      </c>
      <c r="J65" s="49">
        <f t="shared" si="44"/>
        <v>0</v>
      </c>
      <c r="K65" s="49">
        <f t="shared" si="47"/>
        <v>24514.02029187882</v>
      </c>
      <c r="L65" s="49">
        <f t="shared" si="45"/>
        <v>53935.653953910965</v>
      </c>
      <c r="M65" s="49">
        <f t="shared" si="36"/>
        <v>429147.0567594971</v>
      </c>
    </row>
    <row r="66" spans="1:13" ht="15" customHeight="1">
      <c r="A66" s="37">
        <f>17</f>
        <v>17</v>
      </c>
      <c r="B66" s="47">
        <f t="shared" si="37"/>
        <v>467235.31925340253</v>
      </c>
      <c r="C66" s="49">
        <f t="shared" si="38"/>
        <v>170603.8022290347</v>
      </c>
      <c r="D66" s="49">
        <f t="shared" si="39"/>
        <v>637839.1214824372</v>
      </c>
      <c r="E66" s="49">
        <f t="shared" si="46"/>
        <v>127682.47959299285</v>
      </c>
      <c r="F66" s="49">
        <f t="shared" si="40"/>
        <v>164613.14922746172</v>
      </c>
      <c r="G66" s="49">
        <f t="shared" si="41"/>
        <v>28941.362041078355</v>
      </c>
      <c r="H66" s="49">
        <f t="shared" si="42"/>
        <v>54152.205673605975</v>
      </c>
      <c r="I66" s="47">
        <f t="shared" si="43"/>
        <v>25526.048857282887</v>
      </c>
      <c r="J66" s="49">
        <f t="shared" si="44"/>
        <v>0</v>
      </c>
      <c r="K66" s="49">
        <f t="shared" si="47"/>
        <v>25526.048857282887</v>
      </c>
      <c r="L66" s="49">
        <f t="shared" si="45"/>
        <v>55993.532655494506</v>
      </c>
      <c r="M66" s="49">
        <f t="shared" si="36"/>
        <v>385903.1583000554</v>
      </c>
    </row>
    <row r="67" spans="1:13" ht="15" customHeight="1">
      <c r="A67" s="37">
        <f>18</f>
        <v>18</v>
      </c>
      <c r="B67" s="47">
        <f t="shared" si="37"/>
        <v>464027.37955353706</v>
      </c>
      <c r="C67" s="49">
        <f t="shared" si="38"/>
        <v>118114.35571424445</v>
      </c>
      <c r="D67" s="49">
        <f t="shared" si="39"/>
        <v>582141.7352677815</v>
      </c>
      <c r="E67" s="49">
        <f t="shared" si="46"/>
        <v>131512.95398078265</v>
      </c>
      <c r="F67" s="49">
        <f t="shared" si="40"/>
        <v>169321.76894658213</v>
      </c>
      <c r="G67" s="49">
        <f t="shared" si="41"/>
        <v>29809.602902310704</v>
      </c>
      <c r="H67" s="49">
        <f t="shared" si="42"/>
        <v>54823.088393387414</v>
      </c>
      <c r="I67" s="47">
        <f t="shared" si="43"/>
        <v>26569.70566253562</v>
      </c>
      <c r="J67" s="49">
        <f t="shared" si="44"/>
        <v>0</v>
      </c>
      <c r="K67" s="49">
        <f t="shared" si="47"/>
        <v>26569.70566253562</v>
      </c>
      <c r="L67" s="49">
        <f t="shared" si="45"/>
        <v>58119.3719883484</v>
      </c>
      <c r="M67" s="49">
        <f t="shared" si="36"/>
        <v>341946.9161646805</v>
      </c>
    </row>
    <row r="68" spans="1:13" ht="15" customHeight="1">
      <c r="A68" s="37">
        <f>19</f>
        <v>19</v>
      </c>
      <c r="B68" s="47">
        <f t="shared" si="37"/>
        <v>459584.2940924908</v>
      </c>
      <c r="C68" s="49">
        <f t="shared" si="38"/>
        <v>61695.85115655068</v>
      </c>
      <c r="D68" s="49">
        <f t="shared" si="39"/>
        <v>521280.1452490415</v>
      </c>
      <c r="E68" s="49">
        <f t="shared" si="46"/>
        <v>135458.34260020615</v>
      </c>
      <c r="F68" s="49">
        <f t="shared" si="40"/>
        <v>174167.89087799462</v>
      </c>
      <c r="G68" s="49">
        <f t="shared" si="41"/>
        <v>30703.890989380023</v>
      </c>
      <c r="H68" s="49">
        <f t="shared" si="42"/>
        <v>55503.267153627574</v>
      </c>
      <c r="I68" s="47">
        <f t="shared" si="43"/>
        <v>27644.454438723187</v>
      </c>
      <c r="J68" s="49">
        <f t="shared" si="44"/>
        <v>0</v>
      </c>
      <c r="K68" s="49">
        <f t="shared" si="47"/>
        <v>27644.454438723187</v>
      </c>
      <c r="L68" s="49">
        <f t="shared" si="45"/>
        <v>60316.27829626383</v>
      </c>
      <c r="M68" s="49">
        <f t="shared" si="36"/>
        <v>297278.78289001907</v>
      </c>
    </row>
    <row r="69" spans="1:13" ht="15" customHeight="1">
      <c r="A69" s="37">
        <f>20</f>
        <v>20</v>
      </c>
      <c r="B69" s="47">
        <f t="shared" si="37"/>
        <v>453814.09096032684</v>
      </c>
      <c r="C69" s="49">
        <f t="shared" si="38"/>
        <v>1144.1474283029747</v>
      </c>
      <c r="D69" s="49">
        <f t="shared" si="39"/>
        <v>454958.2383886298</v>
      </c>
      <c r="E69" s="49">
        <f t="shared" si="46"/>
        <v>139522.09287821234</v>
      </c>
      <c r="F69" s="49">
        <f t="shared" si="40"/>
        <v>179154.97903126007</v>
      </c>
      <c r="G69" s="49">
        <f t="shared" si="41"/>
        <v>31625.00771906142</v>
      </c>
      <c r="H69" s="49">
        <f t="shared" si="42"/>
        <v>56192.886658996256</v>
      </c>
      <c r="I69" s="47">
        <f t="shared" si="43"/>
        <v>28749.41783678849</v>
      </c>
      <c r="J69" s="49">
        <f t="shared" si="44"/>
        <v>0</v>
      </c>
      <c r="K69" s="49">
        <f t="shared" si="47"/>
        <v>28749.41783678849</v>
      </c>
      <c r="L69" s="49">
        <f t="shared" si="45"/>
        <v>62587.66681641387</v>
      </c>
      <c r="M69" s="49">
        <f t="shared" si="36"/>
        <v>251899.345763111</v>
      </c>
    </row>
    <row r="70" spans="1:13" ht="15" customHeight="1">
      <c r="A70" s="37">
        <f>21</f>
        <v>21</v>
      </c>
      <c r="B70" s="47">
        <f t="shared" si="37"/>
        <v>350022.387901857</v>
      </c>
      <c r="C70" s="49">
        <f t="shared" si="38"/>
        <v>0</v>
      </c>
      <c r="D70" s="49">
        <f t="shared" si="39"/>
        <v>350022.387901857</v>
      </c>
      <c r="E70" s="49">
        <f t="shared" si="46"/>
        <v>143707.7556645587</v>
      </c>
      <c r="F70" s="49">
        <f t="shared" si="40"/>
        <v>217130.16394665174</v>
      </c>
      <c r="G70" s="49">
        <f t="shared" si="41"/>
        <v>32573.75795063327</v>
      </c>
      <c r="H70" s="49">
        <f t="shared" si="42"/>
        <v>56892.09409609529</v>
      </c>
      <c r="I70" s="47">
        <f t="shared" si="43"/>
        <v>29742.741290615573</v>
      </c>
      <c r="J70" s="49">
        <f t="shared" si="44"/>
        <v>96739.66631587067</v>
      </c>
      <c r="K70" s="49">
        <f t="shared" si="47"/>
        <v>126482.40760648623</v>
      </c>
      <c r="L70" s="49">
        <f t="shared" si="45"/>
        <v>1181.9042934369727</v>
      </c>
      <c r="M70" s="49">
        <f t="shared" si="36"/>
        <v>188154.28116860444</v>
      </c>
    </row>
    <row r="71" spans="1:13" ht="15" customHeight="1">
      <c r="A71" s="37">
        <f>22</f>
        <v>22</v>
      </c>
      <c r="B71" s="47">
        <f t="shared" si="37"/>
        <v>234404.32271887234</v>
      </c>
      <c r="C71" s="49">
        <f t="shared" si="38"/>
        <v>0</v>
      </c>
      <c r="D71" s="49">
        <f t="shared" si="39"/>
        <v>234404.32271887234</v>
      </c>
      <c r="E71" s="49">
        <f t="shared" si="46"/>
        <v>148018.98833449546</v>
      </c>
      <c r="F71" s="49">
        <f t="shared" si="40"/>
        <v>224271.19444620528</v>
      </c>
      <c r="G71" s="49">
        <f t="shared" si="41"/>
        <v>33550.970689152266</v>
      </c>
      <c r="H71" s="49">
        <f t="shared" si="42"/>
        <v>57601.03917897548</v>
      </c>
      <c r="I71" s="47">
        <f t="shared" si="43"/>
        <v>23886.846363683053</v>
      </c>
      <c r="J71" s="49">
        <f t="shared" si="44"/>
        <v>109232.33821439448</v>
      </c>
      <c r="K71" s="49">
        <f t="shared" si="47"/>
        <v>133119.18457807752</v>
      </c>
      <c r="L71" s="49">
        <f t="shared" si="45"/>
        <v>0</v>
      </c>
      <c r="M71" s="49">
        <f t="shared" si="36"/>
        <v>122333.85820144095</v>
      </c>
    </row>
    <row r="72" spans="1:13" ht="15" customHeight="1">
      <c r="A72" s="37">
        <f>23</f>
        <v>23</v>
      </c>
      <c r="B72" s="47">
        <f t="shared" si="37"/>
        <v>108002.58258057426</v>
      </c>
      <c r="C72" s="49">
        <f t="shared" si="38"/>
        <v>0</v>
      </c>
      <c r="D72" s="49">
        <f t="shared" si="39"/>
        <v>108002.58258057426</v>
      </c>
      <c r="E72" s="49">
        <f t="shared" si="46"/>
        <v>152459.55798453031</v>
      </c>
      <c r="F72" s="49">
        <f t="shared" si="40"/>
        <v>230999.3302795914</v>
      </c>
      <c r="G72" s="49">
        <f t="shared" si="41"/>
        <v>34557.49980982683</v>
      </c>
      <c r="H72" s="49">
        <f t="shared" si="42"/>
        <v>58319.87419552286</v>
      </c>
      <c r="I72" s="47">
        <f t="shared" si="43"/>
        <v>16474.794542822667</v>
      </c>
      <c r="J72" s="49">
        <f t="shared" si="44"/>
        <v>121647.16173141904</v>
      </c>
      <c r="K72" s="49">
        <f t="shared" si="47"/>
        <v>138121.9562742417</v>
      </c>
      <c r="L72" s="49">
        <f t="shared" si="45"/>
        <v>0</v>
      </c>
      <c r="M72" s="49">
        <f t="shared" si="36"/>
        <v>54724.01740267366</v>
      </c>
    </row>
    <row r="73" spans="1:13" ht="15" customHeight="1">
      <c r="A73" s="37">
        <f>24</f>
        <v>24</v>
      </c>
      <c r="B73" s="47">
        <f t="shared" si="37"/>
        <v>0</v>
      </c>
      <c r="C73" s="49">
        <f t="shared" si="38"/>
        <v>0</v>
      </c>
      <c r="D73" s="49">
        <f t="shared" si="39"/>
        <v>0</v>
      </c>
      <c r="E73" s="49">
        <f t="shared" si="46"/>
        <v>157033.34472406624</v>
      </c>
      <c r="F73" s="49">
        <f t="shared" si="40"/>
        <v>237929.31018797916</v>
      </c>
      <c r="G73" s="49">
        <f t="shared" si="41"/>
        <v>35594.22480412164</v>
      </c>
      <c r="H73" s="49">
        <f t="shared" si="42"/>
        <v>44189.28009494733</v>
      </c>
      <c r="I73" s="47">
        <f t="shared" si="43"/>
        <v>10048.418580902387</v>
      </c>
      <c r="J73" s="49">
        <f t="shared" si="44"/>
        <v>103354.29312870059</v>
      </c>
      <c r="K73" s="49">
        <f t="shared" si="47"/>
        <v>113402.71170960298</v>
      </c>
      <c r="L73" s="49">
        <f t="shared" si="45"/>
        <v>0</v>
      </c>
      <c r="M73" s="49">
        <f t="shared" si="36"/>
        <v>0</v>
      </c>
    </row>
    <row r="74" spans="1:13" ht="15" customHeight="1">
      <c r="A74" s="37">
        <f>25</f>
        <v>25</v>
      </c>
      <c r="B74" s="47">
        <f t="shared" si="37"/>
        <v>0</v>
      </c>
      <c r="C74" s="49">
        <f t="shared" si="38"/>
        <v>0</v>
      </c>
      <c r="D74" s="49">
        <f t="shared" si="39"/>
        <v>0</v>
      </c>
      <c r="E74" s="49">
        <f t="shared" si="46"/>
        <v>161744.34506578822</v>
      </c>
      <c r="F74" s="49">
        <f t="shared" si="40"/>
        <v>245067.18949361856</v>
      </c>
      <c r="G74" s="49">
        <f t="shared" si="41"/>
        <v>36662.05154824529</v>
      </c>
      <c r="H74" s="49">
        <f t="shared" si="42"/>
        <v>44631.172895896816</v>
      </c>
      <c r="I74" s="47">
        <f t="shared" si="43"/>
        <v>0</v>
      </c>
      <c r="J74" s="49">
        <f t="shared" si="44"/>
        <v>0</v>
      </c>
      <c r="K74" s="49">
        <f t="shared" si="47"/>
        <v>0</v>
      </c>
      <c r="L74" s="49">
        <f t="shared" si="45"/>
        <v>0</v>
      </c>
      <c r="M74" s="49">
        <f t="shared" si="36"/>
        <v>0</v>
      </c>
    </row>
    <row r="75" spans="1:13" ht="15" customHeight="1">
      <c r="A75" s="37">
        <f>26</f>
        <v>26</v>
      </c>
      <c r="B75" s="47">
        <f t="shared" si="37"/>
        <v>0</v>
      </c>
      <c r="C75" s="49">
        <f t="shared" si="38"/>
        <v>0</v>
      </c>
      <c r="D75" s="49">
        <f t="shared" si="39"/>
        <v>0</v>
      </c>
      <c r="E75" s="49">
        <f t="shared" si="46"/>
        <v>166596.67541776187</v>
      </c>
      <c r="F75" s="49">
        <f t="shared" si="40"/>
        <v>252419.2051784271</v>
      </c>
      <c r="G75" s="49">
        <f t="shared" si="41"/>
        <v>37761.913094692645</v>
      </c>
      <c r="H75" s="49">
        <f t="shared" si="42"/>
        <v>45077.48462485579</v>
      </c>
      <c r="I75" s="47">
        <f t="shared" si="43"/>
        <v>0</v>
      </c>
      <c r="J75" s="49">
        <f t="shared" si="44"/>
        <v>0</v>
      </c>
      <c r="K75" s="49">
        <f t="shared" si="47"/>
        <v>0</v>
      </c>
      <c r="L75" s="49">
        <f t="shared" si="45"/>
        <v>0</v>
      </c>
      <c r="M75" s="49">
        <f t="shared" si="36"/>
        <v>0</v>
      </c>
    </row>
    <row r="76" spans="1:13" ht="15" customHeight="1">
      <c r="A76" s="37">
        <f>27</f>
        <v>27</v>
      </c>
      <c r="B76" s="47">
        <f t="shared" si="37"/>
        <v>0</v>
      </c>
      <c r="C76" s="49">
        <f t="shared" si="38"/>
        <v>0</v>
      </c>
      <c r="D76" s="49">
        <f t="shared" si="39"/>
        <v>0</v>
      </c>
      <c r="E76" s="49">
        <f t="shared" si="46"/>
        <v>171594.57568029474</v>
      </c>
      <c r="F76" s="49">
        <f t="shared" si="40"/>
        <v>259991.78133377995</v>
      </c>
      <c r="G76" s="49">
        <f t="shared" si="41"/>
        <v>38894.770487533424</v>
      </c>
      <c r="H76" s="49">
        <f t="shared" si="42"/>
        <v>45528.259471104335</v>
      </c>
      <c r="I76" s="47">
        <f t="shared" si="43"/>
        <v>0</v>
      </c>
      <c r="J76" s="49">
        <f t="shared" si="44"/>
        <v>0</v>
      </c>
      <c r="K76" s="49">
        <f t="shared" si="47"/>
        <v>0</v>
      </c>
      <c r="L76" s="49">
        <f t="shared" si="45"/>
        <v>0</v>
      </c>
      <c r="M76" s="49">
        <f t="shared" si="36"/>
        <v>0</v>
      </c>
    </row>
    <row r="77" spans="1:13" ht="15" customHeight="1">
      <c r="A77" s="37">
        <f>28</f>
        <v>28</v>
      </c>
      <c r="B77" s="47">
        <f t="shared" si="37"/>
        <v>0</v>
      </c>
      <c r="C77" s="49">
        <f t="shared" si="38"/>
        <v>0</v>
      </c>
      <c r="D77" s="49">
        <f t="shared" si="39"/>
        <v>0</v>
      </c>
      <c r="E77" s="49">
        <f t="shared" si="46"/>
        <v>176742.41295070358</v>
      </c>
      <c r="F77" s="49">
        <f t="shared" si="40"/>
        <v>267791.53477379336</v>
      </c>
      <c r="G77" s="49">
        <f t="shared" si="41"/>
        <v>40061.61360215942</v>
      </c>
      <c r="H77" s="49">
        <f t="shared" si="42"/>
        <v>45983.542065815374</v>
      </c>
      <c r="I77" s="47">
        <f t="shared" si="43"/>
        <v>0</v>
      </c>
      <c r="J77" s="49">
        <f t="shared" si="44"/>
        <v>0</v>
      </c>
      <c r="K77" s="49">
        <f t="shared" si="47"/>
        <v>0</v>
      </c>
      <c r="L77" s="49">
        <f t="shared" si="45"/>
        <v>0</v>
      </c>
      <c r="M77" s="49">
        <f t="shared" si="36"/>
        <v>0</v>
      </c>
    </row>
    <row r="78" spans="1:13" ht="15" customHeight="1">
      <c r="A78" s="37">
        <f>29</f>
        <v>29</v>
      </c>
      <c r="B78" s="47">
        <f t="shared" si="37"/>
        <v>0</v>
      </c>
      <c r="C78" s="49">
        <f t="shared" si="38"/>
        <v>0</v>
      </c>
      <c r="D78" s="49">
        <f t="shared" si="39"/>
        <v>0</v>
      </c>
      <c r="E78" s="49">
        <f t="shared" si="46"/>
        <v>182044.6853392247</v>
      </c>
      <c r="F78" s="49">
        <f t="shared" si="40"/>
        <v>275825.2808170072</v>
      </c>
      <c r="G78" s="49">
        <f t="shared" si="41"/>
        <v>41263.462010224204</v>
      </c>
      <c r="H78" s="49">
        <f t="shared" si="42"/>
        <v>46443.37748647353</v>
      </c>
      <c r="I78" s="47">
        <f t="shared" si="43"/>
        <v>0</v>
      </c>
      <c r="J78" s="49">
        <f t="shared" si="44"/>
        <v>0</v>
      </c>
      <c r="K78" s="49">
        <f t="shared" si="47"/>
        <v>0</v>
      </c>
      <c r="L78" s="49">
        <f t="shared" si="45"/>
        <v>0</v>
      </c>
      <c r="M78" s="49">
        <f t="shared" si="36"/>
        <v>0</v>
      </c>
    </row>
    <row r="79" spans="1:13" ht="15" customHeight="1">
      <c r="A79" s="64">
        <f>30</f>
        <v>30</v>
      </c>
      <c r="B79" s="47">
        <f t="shared" si="37"/>
        <v>0</v>
      </c>
      <c r="C79" s="47">
        <f t="shared" si="38"/>
        <v>0</v>
      </c>
      <c r="D79" s="47">
        <f t="shared" si="39"/>
        <v>0</v>
      </c>
      <c r="E79" s="47">
        <f t="shared" si="46"/>
        <v>187506.02589940146</v>
      </c>
      <c r="F79" s="47">
        <f t="shared" si="40"/>
        <v>284100.03924151737</v>
      </c>
      <c r="G79" s="47">
        <f t="shared" si="41"/>
        <v>42501.365870530935</v>
      </c>
      <c r="H79" s="47">
        <f t="shared" si="42"/>
        <v>46907.81126133827</v>
      </c>
      <c r="I79" s="47">
        <f t="shared" si="43"/>
        <v>0</v>
      </c>
      <c r="J79" s="47">
        <f t="shared" si="44"/>
        <v>0</v>
      </c>
      <c r="K79" s="47">
        <f t="shared" si="47"/>
        <v>0</v>
      </c>
      <c r="L79" s="47">
        <f t="shared" si="45"/>
        <v>0</v>
      </c>
      <c r="M79" s="47">
        <f t="shared" si="36"/>
        <v>0</v>
      </c>
    </row>
    <row r="81" ht="15">
      <c r="A81" s="63" t="s">
        <v>92</v>
      </c>
    </row>
    <row r="82" ht="15">
      <c r="A82" s="63"/>
    </row>
  </sheetData>
  <sheetProtection selectLockedCells="1"/>
  <hyperlinks>
    <hyperlink ref="M45:M47" r:id="rId1" display="Total Funds"/>
    <hyperlink ref="L45:L47" r:id="rId2" display=" w/d(d/p) "/>
    <hyperlink ref="K44:K47" r:id="rId3" display="Total"/>
    <hyperlink ref="A2" r:id="rId4" display="www.EadsHeald.com"/>
  </hyperlinks>
  <printOptions/>
  <pageMargins left="0.5" right="0.5" top="0.5" bottom="0.5" header="0.5" footer="0.5"/>
  <pageSetup fitToHeight="1" fitToWidth="1"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5" ht="15">
      <c r="A1" t="s">
        <v>83</v>
      </c>
      <c r="C1" t="s">
        <v>85</v>
      </c>
      <c r="D1" t="s">
        <v>80</v>
      </c>
      <c r="E1" t="s">
        <v>89</v>
      </c>
    </row>
    <row r="2" ht="15">
      <c r="A2" t="s">
        <v>84</v>
      </c>
    </row>
    <row r="3" ht="15">
      <c r="A3" t="s">
        <v>86</v>
      </c>
    </row>
    <row r="4" ht="15">
      <c r="A4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4.4453125" style="0" bestFit="1" customWidth="1"/>
  </cols>
  <sheetData>
    <row r="1" spans="1:2" ht="15">
      <c r="A1" s="58">
        <v>0</v>
      </c>
      <c r="B1" s="58">
        <v>0</v>
      </c>
    </row>
    <row r="2" spans="1:2" ht="15">
      <c r="A2" s="58">
        <v>1</v>
      </c>
      <c r="B2" s="58">
        <v>1</v>
      </c>
    </row>
    <row r="3" spans="1:2" ht="15">
      <c r="A3" s="58">
        <v>2</v>
      </c>
      <c r="B3" s="58">
        <v>2</v>
      </c>
    </row>
    <row r="4" spans="1:2" ht="15">
      <c r="A4" s="58">
        <v>3</v>
      </c>
      <c r="B4" s="58">
        <v>3</v>
      </c>
    </row>
    <row r="5" spans="1:2" ht="15">
      <c r="A5" s="58">
        <v>4</v>
      </c>
      <c r="B5" s="58">
        <v>4</v>
      </c>
    </row>
    <row r="6" spans="1:2" ht="15">
      <c r="A6" s="58">
        <v>5</v>
      </c>
      <c r="B6" s="58">
        <v>5</v>
      </c>
    </row>
    <row r="7" spans="1:2" ht="15">
      <c r="A7" s="58">
        <v>6</v>
      </c>
      <c r="B7" s="58">
        <v>6</v>
      </c>
    </row>
    <row r="8" spans="1:2" ht="15">
      <c r="A8" s="58">
        <v>7</v>
      </c>
      <c r="B8" s="58">
        <v>7</v>
      </c>
    </row>
    <row r="9" spans="1:2" ht="15">
      <c r="A9" s="58">
        <v>8</v>
      </c>
      <c r="B9" s="58">
        <v>8</v>
      </c>
    </row>
    <row r="10" spans="1:2" ht="15">
      <c r="A10" s="58">
        <v>9</v>
      </c>
      <c r="B10" s="58">
        <v>9</v>
      </c>
    </row>
    <row r="11" spans="1:2" ht="15">
      <c r="A11" s="58">
        <v>10</v>
      </c>
      <c r="B11" s="58">
        <v>10</v>
      </c>
    </row>
    <row r="12" spans="1:2" ht="15">
      <c r="A12" s="58">
        <v>11</v>
      </c>
      <c r="B12" s="58">
        <v>11</v>
      </c>
    </row>
    <row r="13" spans="1:2" ht="15">
      <c r="A13" s="58">
        <v>12</v>
      </c>
      <c r="B13" s="58">
        <v>12</v>
      </c>
    </row>
    <row r="14" spans="1:2" ht="15">
      <c r="A14" s="58">
        <v>13</v>
      </c>
      <c r="B14" s="58">
        <v>13</v>
      </c>
    </row>
    <row r="15" spans="1:2" ht="15">
      <c r="A15" s="58">
        <v>14</v>
      </c>
      <c r="B15" s="58">
        <v>14</v>
      </c>
    </row>
    <row r="16" spans="1:2" ht="15">
      <c r="A16" s="58">
        <v>15</v>
      </c>
      <c r="B16" s="58">
        <v>15</v>
      </c>
    </row>
    <row r="17" spans="1:2" ht="15">
      <c r="A17" s="58">
        <v>16</v>
      </c>
      <c r="B17" s="58">
        <v>16</v>
      </c>
    </row>
    <row r="18" spans="1:2" ht="15">
      <c r="A18" s="58">
        <v>17</v>
      </c>
      <c r="B18" s="58">
        <v>17</v>
      </c>
    </row>
    <row r="19" spans="1:2" ht="15">
      <c r="A19" s="58">
        <v>18</v>
      </c>
      <c r="B19" s="58">
        <v>18</v>
      </c>
    </row>
    <row r="20" spans="1:2" ht="15">
      <c r="A20" s="58">
        <v>19</v>
      </c>
      <c r="B20" s="58">
        <v>19</v>
      </c>
    </row>
    <row r="21" spans="1:2" ht="15">
      <c r="A21" s="58">
        <v>20</v>
      </c>
      <c r="B21" s="58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Robert Stewart Eads</cp:lastModifiedBy>
  <cp:lastPrinted>2013-11-27T17:15:31Z</cp:lastPrinted>
  <dcterms:created xsi:type="dcterms:W3CDTF">2005-10-13T15:04:44Z</dcterms:created>
  <dcterms:modified xsi:type="dcterms:W3CDTF">2018-03-09T20:45:30Z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